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01.08.2024 ALOCARE AUGUST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'01.08.2024 ALOCARE AUGUST'!$A$2:$BN$101</definedName>
  </definedNames>
  <calcPr calcId="125725"/>
</workbook>
</file>

<file path=xl/calcChain.xml><?xml version="1.0" encoding="utf-8"?>
<calcChain xmlns="http://schemas.openxmlformats.org/spreadsheetml/2006/main">
  <c r="BL97" i="4"/>
  <c r="BK97"/>
  <c r="BJ97"/>
  <c r="BI97"/>
  <c r="BG97"/>
  <c r="BF97"/>
  <c r="BE97"/>
  <c r="BA97"/>
  <c r="AY97"/>
  <c r="AT97"/>
  <c r="AS97"/>
  <c r="AR97"/>
  <c r="AQ97"/>
  <c r="AM97"/>
  <c r="AM99" s="1"/>
  <c r="AL97"/>
  <c r="AK97"/>
  <c r="AF97"/>
  <c r="X97"/>
  <c r="W97"/>
  <c r="R97"/>
  <c r="Q97"/>
  <c r="K97"/>
  <c r="K98" s="1"/>
  <c r="F97"/>
  <c r="F99" s="1"/>
  <c r="BM96"/>
  <c r="BH96"/>
  <c r="BC96"/>
  <c r="BB96"/>
  <c r="AV96"/>
  <c r="AU96"/>
  <c r="AO96"/>
  <c r="AN96"/>
  <c r="AE96"/>
  <c r="AG96" s="1"/>
  <c r="AD96"/>
  <c r="AC96"/>
  <c r="AH96" s="1"/>
  <c r="AB96"/>
  <c r="AA96"/>
  <c r="Z96"/>
  <c r="U96"/>
  <c r="T96"/>
  <c r="N96"/>
  <c r="L96"/>
  <c r="BM95"/>
  <c r="BH95"/>
  <c r="BC95"/>
  <c r="BB95"/>
  <c r="AV95"/>
  <c r="AU95"/>
  <c r="AO95"/>
  <c r="AN95"/>
  <c r="AE95"/>
  <c r="AG95" s="1"/>
  <c r="AD95"/>
  <c r="AC95"/>
  <c r="AB95"/>
  <c r="AA95"/>
  <c r="Z95"/>
  <c r="U95"/>
  <c r="BN95" s="1"/>
  <c r="T95"/>
  <c r="N95"/>
  <c r="L95"/>
  <c r="BM94"/>
  <c r="BH94"/>
  <c r="BC94"/>
  <c r="BB94"/>
  <c r="AV94"/>
  <c r="AU94"/>
  <c r="AN94"/>
  <c r="AI94"/>
  <c r="AO94" s="1"/>
  <c r="AE94"/>
  <c r="AG94" s="1"/>
  <c r="AD94"/>
  <c r="AC94"/>
  <c r="Z94"/>
  <c r="V94"/>
  <c r="AA94" s="1"/>
  <c r="U94"/>
  <c r="T94"/>
  <c r="O94"/>
  <c r="N94"/>
  <c r="M94"/>
  <c r="L94"/>
  <c r="BM93"/>
  <c r="BH93"/>
  <c r="BC93"/>
  <c r="BB93"/>
  <c r="AV93"/>
  <c r="AU93"/>
  <c r="AO93"/>
  <c r="AN93"/>
  <c r="AE93"/>
  <c r="AG93" s="1"/>
  <c r="AD93"/>
  <c r="AC93"/>
  <c r="AB93"/>
  <c r="AA93"/>
  <c r="Z93"/>
  <c r="U93"/>
  <c r="T93"/>
  <c r="N93"/>
  <c r="BN93" s="1"/>
  <c r="M93"/>
  <c r="L93"/>
  <c r="BM92"/>
  <c r="BH92"/>
  <c r="BC92"/>
  <c r="BB92"/>
  <c r="AV92"/>
  <c r="AU92"/>
  <c r="AO92"/>
  <c r="AN92"/>
  <c r="AE92"/>
  <c r="AG92" s="1"/>
  <c r="AD92"/>
  <c r="AC92"/>
  <c r="AB92"/>
  <c r="AA92"/>
  <c r="Z92"/>
  <c r="U92"/>
  <c r="T92"/>
  <c r="N92"/>
  <c r="M92"/>
  <c r="L92"/>
  <c r="BM91"/>
  <c r="BH91"/>
  <c r="BC91"/>
  <c r="BB91"/>
  <c r="AV91"/>
  <c r="AU91"/>
  <c r="AO91"/>
  <c r="AN91"/>
  <c r="AE91"/>
  <c r="AG91" s="1"/>
  <c r="AD91"/>
  <c r="AC91"/>
  <c r="AB91"/>
  <c r="AA91"/>
  <c r="Z91"/>
  <c r="U91"/>
  <c r="T91"/>
  <c r="N91"/>
  <c r="M91"/>
  <c r="L91"/>
  <c r="BM90"/>
  <c r="BH90"/>
  <c r="BC90"/>
  <c r="BB90"/>
  <c r="AV90"/>
  <c r="AU90"/>
  <c r="AO90"/>
  <c r="AN90"/>
  <c r="AE90"/>
  <c r="AG90" s="1"/>
  <c r="AD90"/>
  <c r="AC90"/>
  <c r="AB90"/>
  <c r="AA90"/>
  <c r="Z90"/>
  <c r="U90"/>
  <c r="T90"/>
  <c r="N90"/>
  <c r="M90"/>
  <c r="L90"/>
  <c r="BM89"/>
  <c r="BH89"/>
  <c r="BC89"/>
  <c r="BB89"/>
  <c r="AV89"/>
  <c r="AU89"/>
  <c r="AO89"/>
  <c r="AN89"/>
  <c r="AE89"/>
  <c r="AG89" s="1"/>
  <c r="AD89"/>
  <c r="AC89"/>
  <c r="AB89"/>
  <c r="AA89"/>
  <c r="Z89"/>
  <c r="U89"/>
  <c r="T89"/>
  <c r="N89"/>
  <c r="BN89" s="1"/>
  <c r="M89"/>
  <c r="L89"/>
  <c r="BM88"/>
  <c r="BH88"/>
  <c r="BC88"/>
  <c r="BB88"/>
  <c r="AV88"/>
  <c r="AU88"/>
  <c r="AO88"/>
  <c r="AN88"/>
  <c r="AE88"/>
  <c r="AG88" s="1"/>
  <c r="AD88"/>
  <c r="AC88"/>
  <c r="AB88"/>
  <c r="AA88"/>
  <c r="Z88"/>
  <c r="U88"/>
  <c r="T88"/>
  <c r="N88"/>
  <c r="M88"/>
  <c r="L88"/>
  <c r="BM87"/>
  <c r="BH87"/>
  <c r="BC87"/>
  <c r="BB87"/>
  <c r="AV87"/>
  <c r="AU87"/>
  <c r="AO87"/>
  <c r="AN87"/>
  <c r="AE87"/>
  <c r="AG87" s="1"/>
  <c r="AD87"/>
  <c r="AC87"/>
  <c r="AH87" s="1"/>
  <c r="AB87"/>
  <c r="AA87"/>
  <c r="Z87"/>
  <c r="U87"/>
  <c r="T87"/>
  <c r="N87"/>
  <c r="M87"/>
  <c r="L87"/>
  <c r="BM86"/>
  <c r="BH86"/>
  <c r="BC86"/>
  <c r="BB86"/>
  <c r="AV86"/>
  <c r="AU86"/>
  <c r="AO86"/>
  <c r="AN86"/>
  <c r="AD86"/>
  <c r="AC86"/>
  <c r="Y86"/>
  <c r="Z86" s="1"/>
  <c r="V86"/>
  <c r="T86"/>
  <c r="O86"/>
  <c r="U86" s="1"/>
  <c r="N86"/>
  <c r="M86"/>
  <c r="L86"/>
  <c r="BM85"/>
  <c r="BH85"/>
  <c r="BC85"/>
  <c r="BB85"/>
  <c r="AV85"/>
  <c r="AU85"/>
  <c r="AO85"/>
  <c r="AN85"/>
  <c r="AE85"/>
  <c r="AG85" s="1"/>
  <c r="AD85"/>
  <c r="AC85"/>
  <c r="AB85"/>
  <c r="AA85"/>
  <c r="Z85"/>
  <c r="U85"/>
  <c r="T85"/>
  <c r="N85"/>
  <c r="BN85" s="1"/>
  <c r="M85"/>
  <c r="L85"/>
  <c r="BM84"/>
  <c r="BH84"/>
  <c r="BC84"/>
  <c r="BB84"/>
  <c r="AV84"/>
  <c r="AU84"/>
  <c r="AO84"/>
  <c r="AN84"/>
  <c r="AE84"/>
  <c r="AG84" s="1"/>
  <c r="AD84"/>
  <c r="AC84"/>
  <c r="AB84"/>
  <c r="AA84"/>
  <c r="Z84"/>
  <c r="U84"/>
  <c r="T84"/>
  <c r="N84"/>
  <c r="M84"/>
  <c r="L84"/>
  <c r="BM83"/>
  <c r="BH83"/>
  <c r="BC83"/>
  <c r="BB83"/>
  <c r="AV83"/>
  <c r="AU83"/>
  <c r="AO83"/>
  <c r="AN83"/>
  <c r="AE83"/>
  <c r="AG83" s="1"/>
  <c r="AD83"/>
  <c r="AC83"/>
  <c r="AB83"/>
  <c r="AA83"/>
  <c r="Z83"/>
  <c r="U83"/>
  <c r="T83"/>
  <c r="N83"/>
  <c r="BN83" s="1"/>
  <c r="M83"/>
  <c r="L83"/>
  <c r="BM82"/>
  <c r="BH82"/>
  <c r="BC82"/>
  <c r="BB82"/>
  <c r="AV82"/>
  <c r="AU82"/>
  <c r="AO82"/>
  <c r="AN82"/>
  <c r="AE82"/>
  <c r="AG82" s="1"/>
  <c r="AD82"/>
  <c r="AC82"/>
  <c r="AB82"/>
  <c r="AA82"/>
  <c r="Z82"/>
  <c r="U82"/>
  <c r="T82"/>
  <c r="N82"/>
  <c r="BN82" s="1"/>
  <c r="M82"/>
  <c r="L82"/>
  <c r="BM81"/>
  <c r="BH81"/>
  <c r="BC81"/>
  <c r="BB81"/>
  <c r="AV81"/>
  <c r="AU81"/>
  <c r="AO81"/>
  <c r="AN81"/>
  <c r="AE81"/>
  <c r="AG81" s="1"/>
  <c r="AD81"/>
  <c r="AC81"/>
  <c r="AB81"/>
  <c r="AA81"/>
  <c r="Z81"/>
  <c r="U81"/>
  <c r="T81"/>
  <c r="N81"/>
  <c r="M81"/>
  <c r="L81"/>
  <c r="BM80"/>
  <c r="BH80"/>
  <c r="BC80"/>
  <c r="BB80"/>
  <c r="AV80"/>
  <c r="AU80"/>
  <c r="AO80"/>
  <c r="AN80"/>
  <c r="AG80"/>
  <c r="AE80"/>
  <c r="AD80"/>
  <c r="AC80"/>
  <c r="AB80"/>
  <c r="AA80"/>
  <c r="Z80"/>
  <c r="U80"/>
  <c r="T80"/>
  <c r="N80"/>
  <c r="M80"/>
  <c r="L80"/>
  <c r="BM79"/>
  <c r="BH79"/>
  <c r="BC79"/>
  <c r="BB79"/>
  <c r="AV79"/>
  <c r="AU79"/>
  <c r="AO79"/>
  <c r="AN79"/>
  <c r="AE79"/>
  <c r="AG79" s="1"/>
  <c r="AD79"/>
  <c r="AC79"/>
  <c r="AB79"/>
  <c r="AA79"/>
  <c r="Z79"/>
  <c r="U79"/>
  <c r="T79"/>
  <c r="N79"/>
  <c r="M79"/>
  <c r="L79"/>
  <c r="BM78"/>
  <c r="BH78"/>
  <c r="BC78"/>
  <c r="BB78"/>
  <c r="AV78"/>
  <c r="AU78"/>
  <c r="AO78"/>
  <c r="AN78"/>
  <c r="AE78"/>
  <c r="AG78" s="1"/>
  <c r="AD78"/>
  <c r="AC78"/>
  <c r="AB78"/>
  <c r="AA78"/>
  <c r="Z78"/>
  <c r="U78"/>
  <c r="T78"/>
  <c r="N78"/>
  <c r="M78"/>
  <c r="L78"/>
  <c r="BM77"/>
  <c r="BD77"/>
  <c r="BH77" s="1"/>
  <c r="BC77"/>
  <c r="BB77"/>
  <c r="AU77"/>
  <c r="AP77"/>
  <c r="AV77" s="1"/>
  <c r="AN77"/>
  <c r="AI77"/>
  <c r="AO77" s="1"/>
  <c r="AE77"/>
  <c r="AG77" s="1"/>
  <c r="AD77"/>
  <c r="AC77"/>
  <c r="AA77"/>
  <c r="Z77"/>
  <c r="U77"/>
  <c r="T77"/>
  <c r="O77"/>
  <c r="AB77" s="1"/>
  <c r="N77"/>
  <c r="M77"/>
  <c r="L77"/>
  <c r="BM76"/>
  <c r="BH76"/>
  <c r="BC76"/>
  <c r="BB76"/>
  <c r="AV76"/>
  <c r="AU76"/>
  <c r="AO76"/>
  <c r="AN76"/>
  <c r="AG76"/>
  <c r="AE76"/>
  <c r="AD76"/>
  <c r="AC76"/>
  <c r="AB76"/>
  <c r="AA76"/>
  <c r="Z76"/>
  <c r="U76"/>
  <c r="T76"/>
  <c r="N76"/>
  <c r="M76"/>
  <c r="L76"/>
  <c r="BM75"/>
  <c r="BH75"/>
  <c r="BC75"/>
  <c r="BB75"/>
  <c r="AV75"/>
  <c r="AU75"/>
  <c r="AO75"/>
  <c r="AN75"/>
  <c r="AE75"/>
  <c r="AG75" s="1"/>
  <c r="AD75"/>
  <c r="AC75"/>
  <c r="AH75" s="1"/>
  <c r="AB75"/>
  <c r="AA75"/>
  <c r="Z75"/>
  <c r="U75"/>
  <c r="T75"/>
  <c r="N75"/>
  <c r="BN75" s="1"/>
  <c r="M75"/>
  <c r="L75"/>
  <c r="BM74"/>
  <c r="BH74"/>
  <c r="BC74"/>
  <c r="BB74"/>
  <c r="AV74"/>
  <c r="AU74"/>
  <c r="AO74"/>
  <c r="AN74"/>
  <c r="AE74"/>
  <c r="AG74" s="1"/>
  <c r="AD74"/>
  <c r="AC74"/>
  <c r="AB74"/>
  <c r="AA74"/>
  <c r="Z74"/>
  <c r="U74"/>
  <c r="T74"/>
  <c r="N74"/>
  <c r="BN74" s="1"/>
  <c r="M74"/>
  <c r="L74"/>
  <c r="BM73"/>
  <c r="BH73"/>
  <c r="BC73"/>
  <c r="BB73"/>
  <c r="AV73"/>
  <c r="AU73"/>
  <c r="AO73"/>
  <c r="AN73"/>
  <c r="AE73"/>
  <c r="AG73" s="1"/>
  <c r="AD73"/>
  <c r="AC73"/>
  <c r="AB73"/>
  <c r="AA73"/>
  <c r="Z73"/>
  <c r="U73"/>
  <c r="T73"/>
  <c r="N73"/>
  <c r="M73"/>
  <c r="L73"/>
  <c r="BM72"/>
  <c r="BH72"/>
  <c r="BC72"/>
  <c r="BB72"/>
  <c r="AV72"/>
  <c r="AU72"/>
  <c r="AO72"/>
  <c r="AN72"/>
  <c r="AG72"/>
  <c r="AE72"/>
  <c r="AD72"/>
  <c r="AC72"/>
  <c r="AB72"/>
  <c r="AA72"/>
  <c r="Z72"/>
  <c r="U72"/>
  <c r="T72"/>
  <c r="N72"/>
  <c r="M72"/>
  <c r="L72"/>
  <c r="BM71"/>
  <c r="BH71"/>
  <c r="BC71"/>
  <c r="BB71"/>
  <c r="AV71"/>
  <c r="AU71"/>
  <c r="AO71"/>
  <c r="AN71"/>
  <c r="AE71"/>
  <c r="AG71" s="1"/>
  <c r="AD71"/>
  <c r="AC71"/>
  <c r="AB71"/>
  <c r="AA71"/>
  <c r="Z71"/>
  <c r="U71"/>
  <c r="T71"/>
  <c r="N71"/>
  <c r="M71"/>
  <c r="L71"/>
  <c r="BM70"/>
  <c r="BH70"/>
  <c r="BC70"/>
  <c r="BB70"/>
  <c r="AV70"/>
  <c r="AU70"/>
  <c r="AO70"/>
  <c r="AN70"/>
  <c r="AE70"/>
  <c r="AG70" s="1"/>
  <c r="AD70"/>
  <c r="AC70"/>
  <c r="AB70"/>
  <c r="AA70"/>
  <c r="Z70"/>
  <c r="U70"/>
  <c r="T70"/>
  <c r="N70"/>
  <c r="M70"/>
  <c r="L70"/>
  <c r="BM69"/>
  <c r="BH69"/>
  <c r="BC69"/>
  <c r="BB69"/>
  <c r="AV69"/>
  <c r="AU69"/>
  <c r="AO69"/>
  <c r="AN69"/>
  <c r="AD69"/>
  <c r="AC69"/>
  <c r="Y69"/>
  <c r="Z69" s="1"/>
  <c r="U69"/>
  <c r="T69"/>
  <c r="M69"/>
  <c r="L69"/>
  <c r="G69"/>
  <c r="AB69" s="1"/>
  <c r="BM68"/>
  <c r="BH68"/>
  <c r="BC68"/>
  <c r="BB68"/>
  <c r="AV68"/>
  <c r="AU68"/>
  <c r="AO68"/>
  <c r="AN68"/>
  <c r="AE68"/>
  <c r="AG68" s="1"/>
  <c r="AD68"/>
  <c r="AC68"/>
  <c r="AB68"/>
  <c r="AA68"/>
  <c r="Z68"/>
  <c r="U68"/>
  <c r="T68"/>
  <c r="N68"/>
  <c r="BN68" s="1"/>
  <c r="M68"/>
  <c r="L68"/>
  <c r="BM67"/>
  <c r="BH67"/>
  <c r="BC67"/>
  <c r="BB67"/>
  <c r="AV67"/>
  <c r="AU67"/>
  <c r="AO67"/>
  <c r="AN67"/>
  <c r="AE67"/>
  <c r="AG67" s="1"/>
  <c r="AD67"/>
  <c r="AC67"/>
  <c r="AB67"/>
  <c r="AA67"/>
  <c r="Z67"/>
  <c r="U67"/>
  <c r="T67"/>
  <c r="N67"/>
  <c r="M67"/>
  <c r="L67"/>
  <c r="BM66"/>
  <c r="BH66"/>
  <c r="BC66"/>
  <c r="BB66"/>
  <c r="AV66"/>
  <c r="AU66"/>
  <c r="AO66"/>
  <c r="AN66"/>
  <c r="AE66"/>
  <c r="AG66" s="1"/>
  <c r="AD66"/>
  <c r="AC66"/>
  <c r="AH66" s="1"/>
  <c r="AB66"/>
  <c r="AA66"/>
  <c r="Z66"/>
  <c r="U66"/>
  <c r="T66"/>
  <c r="N66"/>
  <c r="M66"/>
  <c r="L66"/>
  <c r="BM65"/>
  <c r="BH65"/>
  <c r="BC65"/>
  <c r="BB65"/>
  <c r="AV65"/>
  <c r="AU65"/>
  <c r="AO65"/>
  <c r="AN65"/>
  <c r="AD65"/>
  <c r="AC65"/>
  <c r="Y65"/>
  <c r="Z65" s="1"/>
  <c r="U65"/>
  <c r="T65"/>
  <c r="M65"/>
  <c r="L65"/>
  <c r="G65"/>
  <c r="N65" s="1"/>
  <c r="BM64"/>
  <c r="BH64"/>
  <c r="BC64"/>
  <c r="BB64"/>
  <c r="AV64"/>
  <c r="AU64"/>
  <c r="AO64"/>
  <c r="AN64"/>
  <c r="AD64"/>
  <c r="AC64"/>
  <c r="Y64"/>
  <c r="Z64" s="1"/>
  <c r="U64"/>
  <c r="T64"/>
  <c r="M64"/>
  <c r="L64"/>
  <c r="G64"/>
  <c r="N64" s="1"/>
  <c r="BM63"/>
  <c r="BH63"/>
  <c r="BC63"/>
  <c r="BB63"/>
  <c r="AV63"/>
  <c r="AU63"/>
  <c r="AO63"/>
  <c r="AN63"/>
  <c r="AE63"/>
  <c r="AG63" s="1"/>
  <c r="AD63"/>
  <c r="AC63"/>
  <c r="AB63"/>
  <c r="AA63"/>
  <c r="Z63"/>
  <c r="U63"/>
  <c r="T63"/>
  <c r="N63"/>
  <c r="M63"/>
  <c r="L63"/>
  <c r="BM62"/>
  <c r="BD62"/>
  <c r="BH62" s="1"/>
  <c r="BB62"/>
  <c r="AW62"/>
  <c r="BC62" s="1"/>
  <c r="AV62"/>
  <c r="AU62"/>
  <c r="AP62"/>
  <c r="AO62"/>
  <c r="AN62"/>
  <c r="AG62"/>
  <c r="AE62"/>
  <c r="AD62"/>
  <c r="AC62"/>
  <c r="AB62"/>
  <c r="AA62"/>
  <c r="Z62"/>
  <c r="U62"/>
  <c r="T62"/>
  <c r="N62"/>
  <c r="M62"/>
  <c r="L62"/>
  <c r="BM61"/>
  <c r="BH61"/>
  <c r="BC61"/>
  <c r="BB61"/>
  <c r="AV61"/>
  <c r="AU61"/>
  <c r="AO61"/>
  <c r="AN61"/>
  <c r="AG61"/>
  <c r="AE61"/>
  <c r="AD61"/>
  <c r="AC61"/>
  <c r="AB61"/>
  <c r="AA61"/>
  <c r="Z61"/>
  <c r="U61"/>
  <c r="T61"/>
  <c r="N61"/>
  <c r="M61"/>
  <c r="L61"/>
  <c r="BM60"/>
  <c r="BH60"/>
  <c r="BC60"/>
  <c r="BB60"/>
  <c r="AV60"/>
  <c r="AU60"/>
  <c r="AO60"/>
  <c r="AN60"/>
  <c r="AE60"/>
  <c r="AG60" s="1"/>
  <c r="AD60"/>
  <c r="AC60"/>
  <c r="AB60"/>
  <c r="AA60"/>
  <c r="Z60"/>
  <c r="U60"/>
  <c r="T60"/>
  <c r="N60"/>
  <c r="BN60" s="1"/>
  <c r="M60"/>
  <c r="L60"/>
  <c r="BM59"/>
  <c r="BH59"/>
  <c r="BC59"/>
  <c r="BB59"/>
  <c r="AV59"/>
  <c r="AU59"/>
  <c r="AO59"/>
  <c r="AN59"/>
  <c r="AE59"/>
  <c r="AG59" s="1"/>
  <c r="AD59"/>
  <c r="AC59"/>
  <c r="AB59"/>
  <c r="AA59"/>
  <c r="Z59"/>
  <c r="U59"/>
  <c r="T59"/>
  <c r="N59"/>
  <c r="M59"/>
  <c r="L59"/>
  <c r="BM58"/>
  <c r="BH58"/>
  <c r="BC58"/>
  <c r="BB58"/>
  <c r="AV58"/>
  <c r="AU58"/>
  <c r="AO58"/>
  <c r="AN58"/>
  <c r="AG58"/>
  <c r="AE58"/>
  <c r="AD58"/>
  <c r="AC58"/>
  <c r="AB58"/>
  <c r="AH58" s="1"/>
  <c r="AA58"/>
  <c r="Z58"/>
  <c r="U58"/>
  <c r="T58"/>
  <c r="N58"/>
  <c r="BN58" s="1"/>
  <c r="M58"/>
  <c r="L58"/>
  <c r="BM57"/>
  <c r="BH57"/>
  <c r="BC57"/>
  <c r="BB57"/>
  <c r="AV57"/>
  <c r="AU57"/>
  <c r="AO57"/>
  <c r="AN57"/>
  <c r="AG57"/>
  <c r="AE57"/>
  <c r="AD57"/>
  <c r="AC57"/>
  <c r="AB57"/>
  <c r="AH57" s="1"/>
  <c r="AA57"/>
  <c r="Z57"/>
  <c r="U57"/>
  <c r="T57"/>
  <c r="N57"/>
  <c r="M57"/>
  <c r="L57"/>
  <c r="BM56"/>
  <c r="BH56"/>
  <c r="BC56"/>
  <c r="BB56"/>
  <c r="AV56"/>
  <c r="AU56"/>
  <c r="AO56"/>
  <c r="AN56"/>
  <c r="AE56"/>
  <c r="AG56" s="1"/>
  <c r="AD56"/>
  <c r="AC56"/>
  <c r="AB56"/>
  <c r="AA56"/>
  <c r="Z56"/>
  <c r="U56"/>
  <c r="T56"/>
  <c r="N56"/>
  <c r="BN56" s="1"/>
  <c r="M56"/>
  <c r="L56"/>
  <c r="BM55"/>
  <c r="BH55"/>
  <c r="BC55"/>
  <c r="BB55"/>
  <c r="AU55"/>
  <c r="AP55"/>
  <c r="AV55" s="1"/>
  <c r="AO55"/>
  <c r="AN55"/>
  <c r="AE55"/>
  <c r="AG55" s="1"/>
  <c r="AD55"/>
  <c r="AC55"/>
  <c r="Z55"/>
  <c r="V55"/>
  <c r="AA55" s="1"/>
  <c r="U55"/>
  <c r="T55"/>
  <c r="N55"/>
  <c r="M55"/>
  <c r="L55"/>
  <c r="BM54"/>
  <c r="BH54"/>
  <c r="BC54"/>
  <c r="BB54"/>
  <c r="AV54"/>
  <c r="AU54"/>
  <c r="AO54"/>
  <c r="AN54"/>
  <c r="AE54"/>
  <c r="AG54" s="1"/>
  <c r="AD54"/>
  <c r="AC54"/>
  <c r="AB54"/>
  <c r="AA54"/>
  <c r="Z54"/>
  <c r="U54"/>
  <c r="T54"/>
  <c r="N54"/>
  <c r="BN54" s="1"/>
  <c r="M54"/>
  <c r="L54"/>
  <c r="BM53"/>
  <c r="BH53"/>
  <c r="BC53"/>
  <c r="BB53"/>
  <c r="AV53"/>
  <c r="AU53"/>
  <c r="AO53"/>
  <c r="AN53"/>
  <c r="AG53"/>
  <c r="AE53"/>
  <c r="AD53"/>
  <c r="AC53"/>
  <c r="AB53"/>
  <c r="AA53"/>
  <c r="Z53"/>
  <c r="U53"/>
  <c r="T53"/>
  <c r="N53"/>
  <c r="BN53" s="1"/>
  <c r="M53"/>
  <c r="L53"/>
  <c r="BM52"/>
  <c r="BD52"/>
  <c r="BH52" s="1"/>
  <c r="BC52"/>
  <c r="BB52"/>
  <c r="AU52"/>
  <c r="AP52"/>
  <c r="AV52" s="1"/>
  <c r="AO52"/>
  <c r="AN52"/>
  <c r="AG52"/>
  <c r="AE52"/>
  <c r="AD52"/>
  <c r="AC52"/>
  <c r="Z52"/>
  <c r="V52"/>
  <c r="AA52" s="1"/>
  <c r="T52"/>
  <c r="O52"/>
  <c r="AB52" s="1"/>
  <c r="N52"/>
  <c r="M52"/>
  <c r="L52"/>
  <c r="BM51"/>
  <c r="BH51"/>
  <c r="BC51"/>
  <c r="BB51"/>
  <c r="AV51"/>
  <c r="AU51"/>
  <c r="AO51"/>
  <c r="AN51"/>
  <c r="AG51"/>
  <c r="AE51"/>
  <c r="AD51"/>
  <c r="AC51"/>
  <c r="AB51"/>
  <c r="AA51"/>
  <c r="Z51"/>
  <c r="U51"/>
  <c r="T51"/>
  <c r="N51"/>
  <c r="BN51" s="1"/>
  <c r="M51"/>
  <c r="L51"/>
  <c r="BM50"/>
  <c r="BH50"/>
  <c r="BC50"/>
  <c r="BB50"/>
  <c r="AV50"/>
  <c r="AU50"/>
  <c r="AO50"/>
  <c r="AN50"/>
  <c r="AG50"/>
  <c r="AE50"/>
  <c r="AD50"/>
  <c r="AC50"/>
  <c r="AB50"/>
  <c r="AA50"/>
  <c r="Z50"/>
  <c r="U50"/>
  <c r="T50"/>
  <c r="N50"/>
  <c r="M50"/>
  <c r="L50"/>
  <c r="BM49"/>
  <c r="BH49"/>
  <c r="BC49"/>
  <c r="BB49"/>
  <c r="AV49"/>
  <c r="AU49"/>
  <c r="AO49"/>
  <c r="AN49"/>
  <c r="AD49"/>
  <c r="AC49"/>
  <c r="Z49"/>
  <c r="Y49"/>
  <c r="AE49" s="1"/>
  <c r="AG49" s="1"/>
  <c r="U49"/>
  <c r="T49"/>
  <c r="N49"/>
  <c r="M49"/>
  <c r="L49"/>
  <c r="G49"/>
  <c r="AB49" s="1"/>
  <c r="BM48"/>
  <c r="BH48"/>
  <c r="BC48"/>
  <c r="BB48"/>
  <c r="AU48"/>
  <c r="AP48"/>
  <c r="AV48" s="1"/>
  <c r="AO48"/>
  <c r="AN48"/>
  <c r="AD48"/>
  <c r="AC48"/>
  <c r="Y48"/>
  <c r="AE48" s="1"/>
  <c r="AG48" s="1"/>
  <c r="T48"/>
  <c r="O48"/>
  <c r="AB48" s="1"/>
  <c r="N48"/>
  <c r="M48"/>
  <c r="L48"/>
  <c r="BM47"/>
  <c r="BH47"/>
  <c r="BC47"/>
  <c r="BB47"/>
  <c r="AV47"/>
  <c r="AU47"/>
  <c r="AO47"/>
  <c r="AN47"/>
  <c r="AE47"/>
  <c r="AG47" s="1"/>
  <c r="AD47"/>
  <c r="AC47"/>
  <c r="Z47"/>
  <c r="Y47"/>
  <c r="V47"/>
  <c r="AA47" s="1"/>
  <c r="U47"/>
  <c r="T47"/>
  <c r="M47"/>
  <c r="L47"/>
  <c r="G47"/>
  <c r="BM46"/>
  <c r="BD46"/>
  <c r="BH46" s="1"/>
  <c r="BC46"/>
  <c r="BB46"/>
  <c r="AU46"/>
  <c r="AP46"/>
  <c r="AV46" s="1"/>
  <c r="AO46"/>
  <c r="AN46"/>
  <c r="AE46"/>
  <c r="AG46" s="1"/>
  <c r="AD46"/>
  <c r="AC46"/>
  <c r="Z46"/>
  <c r="V46"/>
  <c r="AA46" s="1"/>
  <c r="U46"/>
  <c r="T46"/>
  <c r="N46"/>
  <c r="M46"/>
  <c r="L46"/>
  <c r="BM45"/>
  <c r="BH45"/>
  <c r="BC45"/>
  <c r="BB45"/>
  <c r="AV45"/>
  <c r="AU45"/>
  <c r="AO45"/>
  <c r="AN45"/>
  <c r="AG45"/>
  <c r="AE45"/>
  <c r="AD45"/>
  <c r="AC45"/>
  <c r="AB45"/>
  <c r="AA45"/>
  <c r="Z45"/>
  <c r="U45"/>
  <c r="T45"/>
  <c r="N45"/>
  <c r="M45"/>
  <c r="L45"/>
  <c r="BM44"/>
  <c r="BH44"/>
  <c r="BC44"/>
  <c r="BB44"/>
  <c r="AV44"/>
  <c r="AU44"/>
  <c r="AO44"/>
  <c r="AN44"/>
  <c r="AE44"/>
  <c r="AG44" s="1"/>
  <c r="AC44"/>
  <c r="AB44"/>
  <c r="Z44"/>
  <c r="Y44"/>
  <c r="AA44" s="1"/>
  <c r="U44"/>
  <c r="T44"/>
  <c r="M44"/>
  <c r="L44"/>
  <c r="I44"/>
  <c r="I97" s="1"/>
  <c r="BM43"/>
  <c r="BH43"/>
  <c r="BC43"/>
  <c r="BB43"/>
  <c r="AV43"/>
  <c r="AU43"/>
  <c r="AO43"/>
  <c r="AN43"/>
  <c r="AE43"/>
  <c r="AG43" s="1"/>
  <c r="AD43"/>
  <c r="AC43"/>
  <c r="AB43"/>
  <c r="AA43"/>
  <c r="Z43"/>
  <c r="U43"/>
  <c r="T43"/>
  <c r="N43"/>
  <c r="BN43" s="1"/>
  <c r="M43"/>
  <c r="L43"/>
  <c r="BM42"/>
  <c r="BH42"/>
  <c r="BC42"/>
  <c r="BB42"/>
  <c r="AV42"/>
  <c r="AU42"/>
  <c r="AO42"/>
  <c r="AN42"/>
  <c r="AD42"/>
  <c r="AC42"/>
  <c r="Y42"/>
  <c r="Z42" s="1"/>
  <c r="U42"/>
  <c r="T42"/>
  <c r="M42"/>
  <c r="L42"/>
  <c r="G42"/>
  <c r="N42" s="1"/>
  <c r="BM41"/>
  <c r="BH41"/>
  <c r="BC41"/>
  <c r="BB41"/>
  <c r="AV41"/>
  <c r="AU41"/>
  <c r="AO41"/>
  <c r="AN41"/>
  <c r="AD41"/>
  <c r="AC41"/>
  <c r="Y41"/>
  <c r="Z41" s="1"/>
  <c r="V41"/>
  <c r="AA41" s="1"/>
  <c r="U41"/>
  <c r="T41"/>
  <c r="N41"/>
  <c r="M41"/>
  <c r="L41"/>
  <c r="BM40"/>
  <c r="BH40"/>
  <c r="BB40"/>
  <c r="AW40"/>
  <c r="BC40" s="1"/>
  <c r="AU40"/>
  <c r="AP40"/>
  <c r="AV40" s="1"/>
  <c r="AN40"/>
  <c r="AI40"/>
  <c r="AO40" s="1"/>
  <c r="AG40"/>
  <c r="AE40"/>
  <c r="AD40"/>
  <c r="AC40"/>
  <c r="AB40"/>
  <c r="AH40" s="1"/>
  <c r="Z40"/>
  <c r="V40"/>
  <c r="AA40" s="1"/>
  <c r="U40"/>
  <c r="T40"/>
  <c r="O40"/>
  <c r="N40"/>
  <c r="M40"/>
  <c r="L40"/>
  <c r="BM39"/>
  <c r="BH39"/>
  <c r="BC39"/>
  <c r="BB39"/>
  <c r="AV39"/>
  <c r="AU39"/>
  <c r="AO39"/>
  <c r="AN39"/>
  <c r="AD39"/>
  <c r="AC39"/>
  <c r="Y39"/>
  <c r="Z39" s="1"/>
  <c r="U39"/>
  <c r="T39"/>
  <c r="M39"/>
  <c r="L39"/>
  <c r="G39"/>
  <c r="N39" s="1"/>
  <c r="BM38"/>
  <c r="BH38"/>
  <c r="BC38"/>
  <c r="BB38"/>
  <c r="AV38"/>
  <c r="AU38"/>
  <c r="AN38"/>
  <c r="AJ38"/>
  <c r="AI38"/>
  <c r="AO38" s="1"/>
  <c r="AE38"/>
  <c r="AG38" s="1"/>
  <c r="AD38"/>
  <c r="AC38"/>
  <c r="Z38"/>
  <c r="V38"/>
  <c r="AA38" s="1"/>
  <c r="U38"/>
  <c r="T38"/>
  <c r="N38"/>
  <c r="M38"/>
  <c r="L38"/>
  <c r="BM37"/>
  <c r="BH37"/>
  <c r="BC37"/>
  <c r="BB37"/>
  <c r="AV37"/>
  <c r="AU37"/>
  <c r="AO37"/>
  <c r="AN37"/>
  <c r="AE37"/>
  <c r="AG37" s="1"/>
  <c r="AD37"/>
  <c r="AC37"/>
  <c r="AB37"/>
  <c r="AA37"/>
  <c r="Z37"/>
  <c r="U37"/>
  <c r="T37"/>
  <c r="N37"/>
  <c r="BN37" s="1"/>
  <c r="M37"/>
  <c r="L37"/>
  <c r="BM36"/>
  <c r="BH36"/>
  <c r="BC36"/>
  <c r="BB36"/>
  <c r="AV36"/>
  <c r="AU36"/>
  <c r="AO36"/>
  <c r="AN36"/>
  <c r="AE36"/>
  <c r="AG36" s="1"/>
  <c r="AD36"/>
  <c r="AC36"/>
  <c r="AB36"/>
  <c r="AA36"/>
  <c r="Z36"/>
  <c r="U36"/>
  <c r="T36"/>
  <c r="N36"/>
  <c r="BN36" s="1"/>
  <c r="M36"/>
  <c r="L36"/>
  <c r="BM35"/>
  <c r="BH35"/>
  <c r="BD35"/>
  <c r="BB35"/>
  <c r="AW35"/>
  <c r="BC35" s="1"/>
  <c r="AU35"/>
  <c r="AP35"/>
  <c r="AV35" s="1"/>
  <c r="AN35"/>
  <c r="AI35"/>
  <c r="AO35" s="1"/>
  <c r="AG35"/>
  <c r="AE35"/>
  <c r="AD35"/>
  <c r="AC35"/>
  <c r="Z35"/>
  <c r="V35"/>
  <c r="AA35" s="1"/>
  <c r="T35"/>
  <c r="O35"/>
  <c r="U35" s="1"/>
  <c r="N35"/>
  <c r="M35"/>
  <c r="L35"/>
  <c r="BM34"/>
  <c r="BH34"/>
  <c r="BC34"/>
  <c r="BB34"/>
  <c r="AV34"/>
  <c r="AU34"/>
  <c r="AO34"/>
  <c r="AN34"/>
  <c r="AD34"/>
  <c r="AB34"/>
  <c r="Y34"/>
  <c r="Z34" s="1"/>
  <c r="U34"/>
  <c r="T34"/>
  <c r="M34"/>
  <c r="L34"/>
  <c r="H34"/>
  <c r="N34" s="1"/>
  <c r="BM33"/>
  <c r="BH33"/>
  <c r="BC33"/>
  <c r="BB33"/>
  <c r="AV33"/>
  <c r="AU33"/>
  <c r="AN33"/>
  <c r="AI33"/>
  <c r="AO33" s="1"/>
  <c r="AD33"/>
  <c r="AC33"/>
  <c r="Y33"/>
  <c r="AE33" s="1"/>
  <c r="AG33" s="1"/>
  <c r="U33"/>
  <c r="T33"/>
  <c r="M33"/>
  <c r="L33"/>
  <c r="G33"/>
  <c r="AB33" s="1"/>
  <c r="BM32"/>
  <c r="BH32"/>
  <c r="BC32"/>
  <c r="BB32"/>
  <c r="AU32"/>
  <c r="AP32"/>
  <c r="AV32" s="1"/>
  <c r="AO32"/>
  <c r="AN32"/>
  <c r="AD32"/>
  <c r="AB32"/>
  <c r="Z32"/>
  <c r="Y32"/>
  <c r="AE32" s="1"/>
  <c r="AG32" s="1"/>
  <c r="U32"/>
  <c r="T32"/>
  <c r="M32"/>
  <c r="L32"/>
  <c r="H32"/>
  <c r="AC32" s="1"/>
  <c r="BM31"/>
  <c r="BD31"/>
  <c r="BH31" s="1"/>
  <c r="BB31"/>
  <c r="AW31"/>
  <c r="BC31" s="1"/>
  <c r="AU31"/>
  <c r="AP31"/>
  <c r="AV31" s="1"/>
  <c r="AN31"/>
  <c r="AI31"/>
  <c r="AO31" s="1"/>
  <c r="AD31"/>
  <c r="Z31"/>
  <c r="Y31"/>
  <c r="AE31" s="1"/>
  <c r="AG31" s="1"/>
  <c r="V31"/>
  <c r="AA31" s="1"/>
  <c r="T31"/>
  <c r="O31"/>
  <c r="AB31" s="1"/>
  <c r="M31"/>
  <c r="L31"/>
  <c r="H31"/>
  <c r="N31" s="1"/>
  <c r="BM30"/>
  <c r="BH30"/>
  <c r="AZ30"/>
  <c r="BB30" s="1"/>
  <c r="AX30"/>
  <c r="AX97" s="1"/>
  <c r="AU30"/>
  <c r="AP30"/>
  <c r="AV30" s="1"/>
  <c r="AN30"/>
  <c r="AJ30"/>
  <c r="AJ97" s="1"/>
  <c r="AI30"/>
  <c r="AD30"/>
  <c r="Y30"/>
  <c r="AE30" s="1"/>
  <c r="AG30" s="1"/>
  <c r="T30"/>
  <c r="O30"/>
  <c r="AB30" s="1"/>
  <c r="M30"/>
  <c r="L30"/>
  <c r="H30"/>
  <c r="AC30" s="1"/>
  <c r="BM29"/>
  <c r="BH29"/>
  <c r="BC29"/>
  <c r="BB29"/>
  <c r="AU29"/>
  <c r="AP29"/>
  <c r="AV29" s="1"/>
  <c r="AO29"/>
  <c r="AN29"/>
  <c r="AI29"/>
  <c r="AE29"/>
  <c r="AG29" s="1"/>
  <c r="AD29"/>
  <c r="AC29"/>
  <c r="AB29"/>
  <c r="AA29"/>
  <c r="Z29"/>
  <c r="U29"/>
  <c r="T29"/>
  <c r="N29"/>
  <c r="M29"/>
  <c r="L29"/>
  <c r="BM28"/>
  <c r="BH28"/>
  <c r="BC28"/>
  <c r="BB28"/>
  <c r="AV28"/>
  <c r="AU28"/>
  <c r="AO28"/>
  <c r="AN28"/>
  <c r="AE28"/>
  <c r="AG28" s="1"/>
  <c r="AD28"/>
  <c r="AC28"/>
  <c r="AB28"/>
  <c r="AA28"/>
  <c r="Z28"/>
  <c r="U28"/>
  <c r="T28"/>
  <c r="N28"/>
  <c r="M28"/>
  <c r="L28"/>
  <c r="BM27"/>
  <c r="BH27"/>
  <c r="BC27"/>
  <c r="BB27"/>
  <c r="AV27"/>
  <c r="AU27"/>
  <c r="AO27"/>
  <c r="AN27"/>
  <c r="AG27"/>
  <c r="AE27"/>
  <c r="AD27"/>
  <c r="AC27"/>
  <c r="AB27"/>
  <c r="AA27"/>
  <c r="Z27"/>
  <c r="U27"/>
  <c r="T27"/>
  <c r="N27"/>
  <c r="M27"/>
  <c r="L27"/>
  <c r="BM26"/>
  <c r="BH26"/>
  <c r="BC26"/>
  <c r="BB26"/>
  <c r="AV26"/>
  <c r="AU26"/>
  <c r="AO26"/>
  <c r="AN26"/>
  <c r="AE26"/>
  <c r="AG26" s="1"/>
  <c r="AD26"/>
  <c r="AB26"/>
  <c r="Z26"/>
  <c r="Y26"/>
  <c r="AA26" s="1"/>
  <c r="U26"/>
  <c r="T26"/>
  <c r="M26"/>
  <c r="L26"/>
  <c r="H26"/>
  <c r="AC26" s="1"/>
  <c r="BM25"/>
  <c r="BD25"/>
  <c r="BH25" s="1"/>
  <c r="BB25"/>
  <c r="AW25"/>
  <c r="BC25" s="1"/>
  <c r="AV25"/>
  <c r="AU25"/>
  <c r="AO25"/>
  <c r="AN25"/>
  <c r="AG25"/>
  <c r="AE25"/>
  <c r="AD25"/>
  <c r="AC25"/>
  <c r="AB25"/>
  <c r="AA25"/>
  <c r="Z25"/>
  <c r="U25"/>
  <c r="T25"/>
  <c r="N25"/>
  <c r="M25"/>
  <c r="L25"/>
  <c r="BM24"/>
  <c r="BH24"/>
  <c r="BC24"/>
  <c r="BB24"/>
  <c r="AV24"/>
  <c r="AU24"/>
  <c r="AO24"/>
  <c r="AN24"/>
  <c r="AE24"/>
  <c r="AG24" s="1"/>
  <c r="AD24"/>
  <c r="AC24"/>
  <c r="AB24"/>
  <c r="AA24"/>
  <c r="Z24"/>
  <c r="U24"/>
  <c r="T24"/>
  <c r="N24"/>
  <c r="BN24" s="1"/>
  <c r="M24"/>
  <c r="L24"/>
  <c r="BM23"/>
  <c r="BH23"/>
  <c r="BC23"/>
  <c r="BB23"/>
  <c r="AV23"/>
  <c r="AU23"/>
  <c r="AO23"/>
  <c r="AN23"/>
  <c r="AE23"/>
  <c r="AG23" s="1"/>
  <c r="AD23"/>
  <c r="AC23"/>
  <c r="AB23"/>
  <c r="AA23"/>
  <c r="Z23"/>
  <c r="U23"/>
  <c r="T23"/>
  <c r="N23"/>
  <c r="BN23" s="1"/>
  <c r="M23"/>
  <c r="L23"/>
  <c r="BM22"/>
  <c r="BH22"/>
  <c r="BC22"/>
  <c r="BB22"/>
  <c r="AV22"/>
  <c r="AU22"/>
  <c r="AO22"/>
  <c r="AN22"/>
  <c r="AD22"/>
  <c r="AC22"/>
  <c r="Y22"/>
  <c r="AE22" s="1"/>
  <c r="AG22" s="1"/>
  <c r="U22"/>
  <c r="T22"/>
  <c r="M22"/>
  <c r="L22"/>
  <c r="G22"/>
  <c r="AB22" s="1"/>
  <c r="BM21"/>
  <c r="BH21"/>
  <c r="BC21"/>
  <c r="BB21"/>
  <c r="AV21"/>
  <c r="AU21"/>
  <c r="AO21"/>
  <c r="AN21"/>
  <c r="AE21"/>
  <c r="AG21" s="1"/>
  <c r="AD21"/>
  <c r="AC21"/>
  <c r="AB21"/>
  <c r="AA21"/>
  <c r="Z21"/>
  <c r="U21"/>
  <c r="T21"/>
  <c r="N21"/>
  <c r="M21"/>
  <c r="L21"/>
  <c r="BM20"/>
  <c r="BH20"/>
  <c r="BD20"/>
  <c r="BB20"/>
  <c r="AW20"/>
  <c r="BC20" s="1"/>
  <c r="AU20"/>
  <c r="AP20"/>
  <c r="AV20" s="1"/>
  <c r="AO20"/>
  <c r="AN20"/>
  <c r="AD20"/>
  <c r="Y20"/>
  <c r="AE20" s="1"/>
  <c r="AG20" s="1"/>
  <c r="V20"/>
  <c r="AB20" s="1"/>
  <c r="U20"/>
  <c r="T20"/>
  <c r="M20"/>
  <c r="L20"/>
  <c r="H20"/>
  <c r="H97" s="1"/>
  <c r="BM19"/>
  <c r="BH19"/>
  <c r="BC19"/>
  <c r="BB19"/>
  <c r="AV19"/>
  <c r="AU19"/>
  <c r="AO19"/>
  <c r="AN19"/>
  <c r="AD19"/>
  <c r="AC19"/>
  <c r="Y19"/>
  <c r="Z19" s="1"/>
  <c r="U19"/>
  <c r="T19"/>
  <c r="M19"/>
  <c r="L19"/>
  <c r="G19"/>
  <c r="N19" s="1"/>
  <c r="BM18"/>
  <c r="BH18"/>
  <c r="BC18"/>
  <c r="BB18"/>
  <c r="AV18"/>
  <c r="AU18"/>
  <c r="AN18"/>
  <c r="AI18"/>
  <c r="AO18" s="1"/>
  <c r="AD18"/>
  <c r="AC18"/>
  <c r="Z18"/>
  <c r="Y18"/>
  <c r="AE18" s="1"/>
  <c r="AG18" s="1"/>
  <c r="V18"/>
  <c r="AA18" s="1"/>
  <c r="U18"/>
  <c r="T18"/>
  <c r="N18"/>
  <c r="M18"/>
  <c r="L18"/>
  <c r="BN17"/>
  <c r="BM17"/>
  <c r="BH17"/>
  <c r="BC17"/>
  <c r="BB17"/>
  <c r="AV17"/>
  <c r="AU17"/>
  <c r="AO17"/>
  <c r="AN17"/>
  <c r="AE17"/>
  <c r="AG17" s="1"/>
  <c r="AD17"/>
  <c r="AC17"/>
  <c r="AB17"/>
  <c r="AA17"/>
  <c r="Z17"/>
  <c r="U17"/>
  <c r="T17"/>
  <c r="N17"/>
  <c r="M17"/>
  <c r="L17"/>
  <c r="BM16"/>
  <c r="BH16"/>
  <c r="AZ16"/>
  <c r="BB16" s="1"/>
  <c r="AW16"/>
  <c r="AV16"/>
  <c r="AU16"/>
  <c r="AO16"/>
  <c r="AN16"/>
  <c r="AD16"/>
  <c r="AC16"/>
  <c r="Z16"/>
  <c r="Y16"/>
  <c r="AE16" s="1"/>
  <c r="AG16" s="1"/>
  <c r="V16"/>
  <c r="AB16" s="1"/>
  <c r="AH16" s="1"/>
  <c r="U16"/>
  <c r="T16"/>
  <c r="N16"/>
  <c r="M16"/>
  <c r="L16"/>
  <c r="BM15"/>
  <c r="BH15"/>
  <c r="BC15"/>
  <c r="BB15"/>
  <c r="AV15"/>
  <c r="AU15"/>
  <c r="AO15"/>
  <c r="AN15"/>
  <c r="AD15"/>
  <c r="AC15"/>
  <c r="Z15"/>
  <c r="Y15"/>
  <c r="AE15" s="1"/>
  <c r="AG15" s="1"/>
  <c r="U15"/>
  <c r="T15"/>
  <c r="N15"/>
  <c r="M15"/>
  <c r="L15"/>
  <c r="G15"/>
  <c r="AB15" s="1"/>
  <c r="BM14"/>
  <c r="BH14"/>
  <c r="BC14"/>
  <c r="BB14"/>
  <c r="AV14"/>
  <c r="AU14"/>
  <c r="AP14"/>
  <c r="AN14"/>
  <c r="AI14"/>
  <c r="AO14" s="1"/>
  <c r="AG14"/>
  <c r="AE14"/>
  <c r="AD14"/>
  <c r="AC14"/>
  <c r="Z14"/>
  <c r="V14"/>
  <c r="AA14" s="1"/>
  <c r="T14"/>
  <c r="O14"/>
  <c r="AB14" s="1"/>
  <c r="AH14" s="1"/>
  <c r="N14"/>
  <c r="M14"/>
  <c r="L14"/>
  <c r="BM13"/>
  <c r="BH13"/>
  <c r="BC13"/>
  <c r="BB13"/>
  <c r="AV13"/>
  <c r="AU13"/>
  <c r="AO13"/>
  <c r="AN13"/>
  <c r="AG13"/>
  <c r="AE13"/>
  <c r="AD13"/>
  <c r="AC13"/>
  <c r="AB13"/>
  <c r="AH13" s="1"/>
  <c r="AA13"/>
  <c r="Z13"/>
  <c r="U13"/>
  <c r="T13"/>
  <c r="N13"/>
  <c r="M13"/>
  <c r="L13"/>
  <c r="BM12"/>
  <c r="BH12"/>
  <c r="BC12"/>
  <c r="BB12"/>
  <c r="AV12"/>
  <c r="AU12"/>
  <c r="AO12"/>
  <c r="AN12"/>
  <c r="AD12"/>
  <c r="AC12"/>
  <c r="Z12"/>
  <c r="Y12"/>
  <c r="AE12" s="1"/>
  <c r="AG12" s="1"/>
  <c r="U12"/>
  <c r="T12"/>
  <c r="N12"/>
  <c r="M12"/>
  <c r="L12"/>
  <c r="G12"/>
  <c r="AB12" s="1"/>
  <c r="BM11"/>
  <c r="BH11"/>
  <c r="BN11" s="1"/>
  <c r="BC11"/>
  <c r="BB11"/>
  <c r="AV11"/>
  <c r="AU11"/>
  <c r="AO11"/>
  <c r="AN11"/>
  <c r="AE11"/>
  <c r="AG11" s="1"/>
  <c r="AD11"/>
  <c r="AC11"/>
  <c r="AB11"/>
  <c r="AA11"/>
  <c r="Z11"/>
  <c r="U11"/>
  <c r="T11"/>
  <c r="N11"/>
  <c r="M11"/>
  <c r="L11"/>
  <c r="BM10"/>
  <c r="BH10"/>
  <c r="BC10"/>
  <c r="BB10"/>
  <c r="AV10"/>
  <c r="AU10"/>
  <c r="AO10"/>
  <c r="AN10"/>
  <c r="AG10"/>
  <c r="AE10"/>
  <c r="AD10"/>
  <c r="AC10"/>
  <c r="AB10"/>
  <c r="AA10"/>
  <c r="Z10"/>
  <c r="U10"/>
  <c r="T10"/>
  <c r="N10"/>
  <c r="M10"/>
  <c r="L10"/>
  <c r="BM9"/>
  <c r="BH9"/>
  <c r="BC9"/>
  <c r="BB9"/>
  <c r="AU9"/>
  <c r="AP9"/>
  <c r="AV9" s="1"/>
  <c r="AN9"/>
  <c r="AI9"/>
  <c r="AO9" s="1"/>
  <c r="AD9"/>
  <c r="Y9"/>
  <c r="Z9" s="1"/>
  <c r="V9"/>
  <c r="AB9" s="1"/>
  <c r="S9"/>
  <c r="S97" s="1"/>
  <c r="P9"/>
  <c r="AC9" s="1"/>
  <c r="O9"/>
  <c r="N9"/>
  <c r="M9"/>
  <c r="L9"/>
  <c r="BM8"/>
  <c r="BH8"/>
  <c r="BC8"/>
  <c r="BB8"/>
  <c r="AV8"/>
  <c r="AU8"/>
  <c r="AO8"/>
  <c r="AN8"/>
  <c r="AE8"/>
  <c r="AG8" s="1"/>
  <c r="AD8"/>
  <c r="AC8"/>
  <c r="AB8"/>
  <c r="AA8"/>
  <c r="Z8"/>
  <c r="U8"/>
  <c r="T8"/>
  <c r="N8"/>
  <c r="M8"/>
  <c r="L8"/>
  <c r="BM7"/>
  <c r="BH7"/>
  <c r="BC7"/>
  <c r="BB7"/>
  <c r="AV7"/>
  <c r="AU7"/>
  <c r="AO7"/>
  <c r="AN7"/>
  <c r="AG7"/>
  <c r="AE7"/>
  <c r="AD7"/>
  <c r="AC7"/>
  <c r="AB7"/>
  <c r="AA7"/>
  <c r="Z7"/>
  <c r="U7"/>
  <c r="T7"/>
  <c r="N7"/>
  <c r="M7"/>
  <c r="L7"/>
  <c r="BM6"/>
  <c r="BD6"/>
  <c r="BH6" s="1"/>
  <c r="BC6"/>
  <c r="BB6"/>
  <c r="AW6"/>
  <c r="AW97" s="1"/>
  <c r="AU6"/>
  <c r="AP6"/>
  <c r="AV6" s="1"/>
  <c r="AN6"/>
  <c r="AI6"/>
  <c r="AO6" s="1"/>
  <c r="AE6"/>
  <c r="AG6" s="1"/>
  <c r="AD6"/>
  <c r="AC6"/>
  <c r="Z6"/>
  <c r="V6"/>
  <c r="AA6" s="1"/>
  <c r="T6"/>
  <c r="O6"/>
  <c r="AB6" s="1"/>
  <c r="N6"/>
  <c r="M6"/>
  <c r="L6"/>
  <c r="BM5"/>
  <c r="BH5"/>
  <c r="BC5"/>
  <c r="BB5"/>
  <c r="AU5"/>
  <c r="AP5"/>
  <c r="AV5" s="1"/>
  <c r="AO5"/>
  <c r="AN5"/>
  <c r="AE5"/>
  <c r="AG5" s="1"/>
  <c r="AD5"/>
  <c r="AC5"/>
  <c r="AB5"/>
  <c r="AA5"/>
  <c r="Z5"/>
  <c r="U5"/>
  <c r="T5"/>
  <c r="N5"/>
  <c r="BN5" s="1"/>
  <c r="M5"/>
  <c r="L5"/>
  <c r="BM4"/>
  <c r="BH4"/>
  <c r="BC4"/>
  <c r="BB4"/>
  <c r="AU4"/>
  <c r="AP4"/>
  <c r="AV4" s="1"/>
  <c r="AO4"/>
  <c r="AN4"/>
  <c r="AE4"/>
  <c r="AG4" s="1"/>
  <c r="AD4"/>
  <c r="AC4"/>
  <c r="Z4"/>
  <c r="V4"/>
  <c r="U4"/>
  <c r="T4"/>
  <c r="N4"/>
  <c r="M4"/>
  <c r="L4"/>
  <c r="BM3"/>
  <c r="BH3"/>
  <c r="BC3"/>
  <c r="BB3"/>
  <c r="BB97" s="1"/>
  <c r="AU3"/>
  <c r="AU97" s="1"/>
  <c r="AP3"/>
  <c r="AO3"/>
  <c r="AN3"/>
  <c r="AD3"/>
  <c r="AC3"/>
  <c r="Y3"/>
  <c r="Y97" s="1"/>
  <c r="U3"/>
  <c r="T3"/>
  <c r="J3"/>
  <c r="L3" s="1"/>
  <c r="G3"/>
  <c r="AB3" s="1"/>
  <c r="G1"/>
  <c r="AP97" l="1"/>
  <c r="V97"/>
  <c r="AH7"/>
  <c r="AE9"/>
  <c r="AG9" s="1"/>
  <c r="AH11"/>
  <c r="AH12"/>
  <c r="BN13"/>
  <c r="Z20"/>
  <c r="AH22"/>
  <c r="BN27"/>
  <c r="BN28"/>
  <c r="Z30"/>
  <c r="U31"/>
  <c r="AA32"/>
  <c r="N33"/>
  <c r="Z33"/>
  <c r="AH45"/>
  <c r="AB47"/>
  <c r="AH49"/>
  <c r="BN50"/>
  <c r="AH53"/>
  <c r="AH54"/>
  <c r="AH59"/>
  <c r="AH60"/>
  <c r="BN61"/>
  <c r="AH63"/>
  <c r="BN67"/>
  <c r="BN70"/>
  <c r="AH72"/>
  <c r="AH73"/>
  <c r="BN76"/>
  <c r="BN77"/>
  <c r="BN80"/>
  <c r="BN81"/>
  <c r="AH82"/>
  <c r="AH83"/>
  <c r="AH84"/>
  <c r="AH85"/>
  <c r="BN88"/>
  <c r="AH90"/>
  <c r="AH93"/>
  <c r="AA3"/>
  <c r="AH8"/>
  <c r="AH10"/>
  <c r="U14"/>
  <c r="BN14" s="1"/>
  <c r="BN21"/>
  <c r="AA22"/>
  <c r="AH23"/>
  <c r="AH24"/>
  <c r="AH26"/>
  <c r="BN31"/>
  <c r="BN38"/>
  <c r="AB39"/>
  <c r="AB42"/>
  <c r="AH48"/>
  <c r="AA48"/>
  <c r="BN59"/>
  <c r="BN71"/>
  <c r="AH74"/>
  <c r="AH77"/>
  <c r="AH78"/>
  <c r="BN94"/>
  <c r="Z3"/>
  <c r="Z97" s="1"/>
  <c r="AN97"/>
  <c r="AV3"/>
  <c r="AV97" s="1"/>
  <c r="BM97"/>
  <c r="AA4"/>
  <c r="BN4" s="1"/>
  <c r="AH5"/>
  <c r="AH6"/>
  <c r="BN7"/>
  <c r="BN8"/>
  <c r="U9"/>
  <c r="BN10"/>
  <c r="BC16"/>
  <c r="AB19"/>
  <c r="Z22"/>
  <c r="AH25"/>
  <c r="AH27"/>
  <c r="AO30"/>
  <c r="AO97" s="1"/>
  <c r="AC34"/>
  <c r="AA39"/>
  <c r="BN39" s="1"/>
  <c r="AE39"/>
  <c r="AG39" s="1"/>
  <c r="BN45"/>
  <c r="Z48"/>
  <c r="AH51"/>
  <c r="AH52"/>
  <c r="AH56"/>
  <c r="BN57"/>
  <c r="BN62"/>
  <c r="BN63"/>
  <c r="AA69"/>
  <c r="BN72"/>
  <c r="BN73"/>
  <c r="AH76"/>
  <c r="BN90"/>
  <c r="AH91"/>
  <c r="BN92"/>
  <c r="AB94"/>
  <c r="AH94" s="1"/>
  <c r="AH95"/>
  <c r="BH97"/>
  <c r="AH29"/>
  <c r="AH37"/>
  <c r="AH50"/>
  <c r="BN55"/>
  <c r="AH61"/>
  <c r="AH62"/>
  <c r="BN66"/>
  <c r="AE69"/>
  <c r="AG69" s="1"/>
  <c r="AH69" s="1"/>
  <c r="BN78"/>
  <c r="BN79"/>
  <c r="AH80"/>
  <c r="BN84"/>
  <c r="BN87"/>
  <c r="BN91"/>
  <c r="BN96"/>
  <c r="AH15"/>
  <c r="AH17"/>
  <c r="BN25"/>
  <c r="BN35"/>
  <c r="AH36"/>
  <c r="BN40"/>
  <c r="BN41"/>
  <c r="AH43"/>
  <c r="BN46"/>
  <c r="AH67"/>
  <c r="AH70"/>
  <c r="AH79"/>
  <c r="AH88"/>
  <c r="AH92"/>
  <c r="AH9"/>
  <c r="AH21"/>
  <c r="AH28"/>
  <c r="BN29"/>
  <c r="AH30"/>
  <c r="AH32"/>
  <c r="AH33"/>
  <c r="AH68"/>
  <c r="AH71"/>
  <c r="AH81"/>
  <c r="AH47"/>
  <c r="AF1"/>
  <c r="BN18"/>
  <c r="AH89"/>
  <c r="AE3"/>
  <c r="AA9"/>
  <c r="BN9" s="1"/>
  <c r="AA20"/>
  <c r="N22"/>
  <c r="BN22" s="1"/>
  <c r="N26"/>
  <c r="BN26" s="1"/>
  <c r="N30"/>
  <c r="N32"/>
  <c r="BN32" s="1"/>
  <c r="AB35"/>
  <c r="AH35" s="1"/>
  <c r="AB41"/>
  <c r="N44"/>
  <c r="BN44" s="1"/>
  <c r="AD44"/>
  <c r="AH44" s="1"/>
  <c r="AB55"/>
  <c r="AH55" s="1"/>
  <c r="AB64"/>
  <c r="AB65"/>
  <c r="N69"/>
  <c r="BN69" s="1"/>
  <c r="G97"/>
  <c r="P97"/>
  <c r="AZ97"/>
  <c r="BD97"/>
  <c r="M3"/>
  <c r="M97" s="1"/>
  <c r="T9"/>
  <c r="T97" s="1"/>
  <c r="AB18"/>
  <c r="AH18" s="1"/>
  <c r="AA19"/>
  <c r="BN19" s="1"/>
  <c r="AE19"/>
  <c r="AG19" s="1"/>
  <c r="AH19" s="1"/>
  <c r="U30"/>
  <c r="BC30"/>
  <c r="BC97" s="1"/>
  <c r="AC31"/>
  <c r="AH31" s="1"/>
  <c r="AA34"/>
  <c r="BN34" s="1"/>
  <c r="AE34"/>
  <c r="AG34" s="1"/>
  <c r="AH34" s="1"/>
  <c r="AB38"/>
  <c r="AH38" s="1"/>
  <c r="AE41"/>
  <c r="AG41" s="1"/>
  <c r="AA42"/>
  <c r="BN42" s="1"/>
  <c r="AE42"/>
  <c r="AG42" s="1"/>
  <c r="AH42" s="1"/>
  <c r="AB46"/>
  <c r="AH46" s="1"/>
  <c r="N47"/>
  <c r="BN47" s="1"/>
  <c r="U52"/>
  <c r="BN52" s="1"/>
  <c r="AA64"/>
  <c r="BN64" s="1"/>
  <c r="AE64"/>
  <c r="AG64" s="1"/>
  <c r="AA65"/>
  <c r="BN65" s="1"/>
  <c r="AE65"/>
  <c r="AG65" s="1"/>
  <c r="AB86"/>
  <c r="J97"/>
  <c r="O97"/>
  <c r="AI97"/>
  <c r="N3"/>
  <c r="AB4"/>
  <c r="AH4" s="1"/>
  <c r="U6"/>
  <c r="BN6" s="1"/>
  <c r="AA12"/>
  <c r="BN12" s="1"/>
  <c r="AA15"/>
  <c r="BN15" s="1"/>
  <c r="AA16"/>
  <c r="BN16" s="1"/>
  <c r="N20"/>
  <c r="BN20" s="1"/>
  <c r="AC20"/>
  <c r="AH20" s="1"/>
  <c r="AA30"/>
  <c r="AA33"/>
  <c r="BN33" s="1"/>
  <c r="U48"/>
  <c r="BN48" s="1"/>
  <c r="AA49"/>
  <c r="BN49" s="1"/>
  <c r="AA86"/>
  <c r="BN86" s="1"/>
  <c r="AE86"/>
  <c r="AG86" s="1"/>
  <c r="AH86" l="1"/>
  <c r="U97"/>
  <c r="AH64"/>
  <c r="AH41"/>
  <c r="Z99"/>
  <c r="AD97"/>
  <c r="AH39"/>
  <c r="AH65"/>
  <c r="BN30"/>
  <c r="AC97"/>
  <c r="N97"/>
  <c r="BN3"/>
  <c r="BN97" s="1"/>
  <c r="AG3"/>
  <c r="AE97"/>
  <c r="AA97"/>
  <c r="AA99" s="1"/>
  <c r="AB97"/>
  <c r="BN99" l="1"/>
  <c r="AG97"/>
  <c r="AG100" s="1"/>
  <c r="AG101" s="1"/>
  <c r="AH3"/>
  <c r="AH97" s="1"/>
</calcChain>
</file>

<file path=xl/sharedStrings.xml><?xml version="1.0" encoding="utf-8"?>
<sst xmlns="http://schemas.openxmlformats.org/spreadsheetml/2006/main" count="343" uniqueCount="343">
  <si>
    <t>nr inreg</t>
  </si>
  <si>
    <t>b</t>
  </si>
  <si>
    <t>nr contract</t>
  </si>
  <si>
    <t>denumire furnizor</t>
  </si>
  <si>
    <t>CUI</t>
  </si>
  <si>
    <t>SSZ 2023</t>
  </si>
  <si>
    <t>DRG IAN</t>
  </si>
  <si>
    <t>CHR IAN</t>
  </si>
  <si>
    <t>PAL IAN</t>
  </si>
  <si>
    <t>SSZ IAN</t>
  </si>
  <si>
    <t>SUPLIM SSZ IAN</t>
  </si>
  <si>
    <t>TOTAL IANUARIE</t>
  </si>
  <si>
    <t xml:space="preserve">DRG FEB </t>
  </si>
  <si>
    <t>CHR FEB</t>
  </si>
  <si>
    <t>PAL FEB</t>
  </si>
  <si>
    <t>SSZ FEB</t>
  </si>
  <si>
    <t>SUPLIM SSZ FEB</t>
  </si>
  <si>
    <t>TOTAL FEBRUARIE</t>
  </si>
  <si>
    <t>DRG MAR</t>
  </si>
  <si>
    <t>CHR MAR</t>
  </si>
  <si>
    <t>PAL MAR</t>
  </si>
  <si>
    <t>SSZ MAR</t>
  </si>
  <si>
    <t>TOTAL MARTIE</t>
  </si>
  <si>
    <t xml:space="preserve">DRG TRIM I </t>
  </si>
  <si>
    <t xml:space="preserve">CHR TRIM I </t>
  </si>
  <si>
    <t xml:space="preserve">PAL TRIM I </t>
  </si>
  <si>
    <t xml:space="preserve">SSZ TRIM I </t>
  </si>
  <si>
    <t>SUPLIM SSZ TRIM I</t>
  </si>
  <si>
    <t>TOTAL SSZ TRIM I DEVINE</t>
  </si>
  <si>
    <t>TOTAL TRIM I DEVINE</t>
  </si>
  <si>
    <t>DRG APR</t>
  </si>
  <si>
    <t>CHR APR</t>
  </si>
  <si>
    <t>PAL APR</t>
  </si>
  <si>
    <t>SSZ APR</t>
  </si>
  <si>
    <t xml:space="preserve">SUPL SSZ APRILIE </t>
  </si>
  <si>
    <t>TOTAL APRILIE</t>
  </si>
  <si>
    <t>DRG MAI</t>
  </si>
  <si>
    <t>CHR MAI</t>
  </si>
  <si>
    <t>PAL MAI</t>
  </si>
  <si>
    <t>SSZ MAI</t>
  </si>
  <si>
    <t>SUPL SSZ MAI</t>
  </si>
  <si>
    <t>TOTAL MAI</t>
  </si>
  <si>
    <t>DRG IUNIE</t>
  </si>
  <si>
    <t>CHR IUNIE</t>
  </si>
  <si>
    <t>PAL IUNIE</t>
  </si>
  <si>
    <t>SSZ IUNIE</t>
  </si>
  <si>
    <t>SUPL SSZ IUN</t>
  </si>
  <si>
    <t>TOTAL IUNIE</t>
  </si>
  <si>
    <t>DRG IULIE</t>
  </si>
  <si>
    <t>CHR IULIE</t>
  </si>
  <si>
    <t>PAL IULIE</t>
  </si>
  <si>
    <t>SSZ IULIE</t>
  </si>
  <si>
    <t>TOTAL IULIE</t>
  </si>
  <si>
    <t>DRG AUGUST</t>
  </si>
  <si>
    <t>CHR AUGUST</t>
  </si>
  <si>
    <t>PAL AUGUST</t>
  </si>
  <si>
    <t>SSZ AUGUST</t>
  </si>
  <si>
    <t>TOTAL AUGUST</t>
  </si>
  <si>
    <t>TOTAL CONTRACT</t>
  </si>
  <si>
    <t>B_01</t>
  </si>
  <si>
    <t>U0018/2023</t>
  </si>
  <si>
    <t>SPITALUL CLINIC "SF. MARIA" BUCUREȘTI</t>
  </si>
  <si>
    <t>B_05</t>
  </si>
  <si>
    <t>U0027/2023</t>
  </si>
  <si>
    <t>SPITALUL CLINIC DE URGENȚĂ PENTRU COPII "GRIGORE ALEXANDRESCU"</t>
  </si>
  <si>
    <t>B_38</t>
  </si>
  <si>
    <t>U0022/2023</t>
  </si>
  <si>
    <t>CENTRUL DE EVALUARE ȘI TRATAMENT AL TOXICODEPENDENȚILOR PENTRU TINERI  "SF. STELIAN"</t>
  </si>
  <si>
    <t>B_02</t>
  </si>
  <si>
    <t>U0049/2023</t>
  </si>
  <si>
    <t>SPITALUL CLINIC DE URGENȚĂ BUCUREȘTI</t>
  </si>
  <si>
    <t>B_04</t>
  </si>
  <si>
    <t>U0028/2023</t>
  </si>
  <si>
    <t>SPITALUL CLINIC DE NEFROLOGIE "DR. CAROL DAVILA" BUCUREȘTI</t>
  </si>
  <si>
    <t>B_03</t>
  </si>
  <si>
    <t>U0024/2023</t>
  </si>
  <si>
    <t>SPITALUL CLINIC DE URGENȚE ȘI CHIRURGIE PLASTICĂ, REPARATORIE ȘI ARSURI</t>
  </si>
  <si>
    <t>B_06</t>
  </si>
  <si>
    <t>U0041/2023</t>
  </si>
  <si>
    <t>SPITALUL CLINIC FILANTROPIA</t>
  </si>
  <si>
    <t>B_08</t>
  </si>
  <si>
    <t>U0047/2023</t>
  </si>
  <si>
    <t>SPITALUL CLINIC DE URGENȚE OFTALMOLOGICE BUCUREȘTI</t>
  </si>
  <si>
    <t>B_10</t>
  </si>
  <si>
    <t>U0012/2023</t>
  </si>
  <si>
    <t>INSTITUTUL NAȚIONAL DE GERIATRIE ȘI GERONTOLOGIE "ANA ASLAN"</t>
  </si>
  <si>
    <t>B_12</t>
  </si>
  <si>
    <t>U0037/2023</t>
  </si>
  <si>
    <t>INSTITUTUL DE ENDOCRINOLOGIE "DR.  C. I. PARHON" BUCUREȘTI</t>
  </si>
  <si>
    <t>B_13</t>
  </si>
  <si>
    <t>U0009/2023</t>
  </si>
  <si>
    <t>SPITALUL CLINIC "DR. I. CANTACUZINO" BUCUREȘTI</t>
  </si>
  <si>
    <t>B_21</t>
  </si>
  <si>
    <t>U0010/2023</t>
  </si>
  <si>
    <t>SPITALUL CLINIC DE URGENȚĂ "SF. PANTELIMON" BUCUREȘTI</t>
  </si>
  <si>
    <t>B_22</t>
  </si>
  <si>
    <t>U0039/2023</t>
  </si>
  <si>
    <t>SPITALUL CLINIC DE COPII "DR. V. GOMOIU"</t>
  </si>
  <si>
    <t>B_42</t>
  </si>
  <si>
    <t>U0040/2023</t>
  </si>
  <si>
    <t>SPITALUL CLINIC "NICOLAE MALAXA" BUCUREȘTI</t>
  </si>
  <si>
    <t>B_41</t>
  </si>
  <si>
    <t>U0043/2023</t>
  </si>
  <si>
    <t>CENTRUL METODOLOGIC DE REUMATOLOGIE "DR. ION STOIA" BUCUREȘTI</t>
  </si>
  <si>
    <t>B_19</t>
  </si>
  <si>
    <t>U0032/2023</t>
  </si>
  <si>
    <t>INSTITUTUL DE URGENŢĂ PENTRU BOLI CARDIOVASCULARE "PROF. DR. C. C.  ILIESCU" BUCUREȘTI</t>
  </si>
  <si>
    <t>B_16</t>
  </si>
  <si>
    <t>U0007/2023</t>
  </si>
  <si>
    <t>SPITALUL CLINIC COLENTINA</t>
  </si>
  <si>
    <t>B_18</t>
  </si>
  <si>
    <t>U0046/2023</t>
  </si>
  <si>
    <t>INSTITUTUL CLINIC FUNDENI</t>
  </si>
  <si>
    <t>B_14</t>
  </si>
  <si>
    <t>U0003/2023</t>
  </si>
  <si>
    <t>INSTITUTUL DE DIABET, NUTRIȚIE ȘI BOLI METABOLICE "DR. N. PAULESCU" BUCUREȘTI</t>
  </si>
  <si>
    <t>B_11</t>
  </si>
  <si>
    <t>U0004/2023</t>
  </si>
  <si>
    <t>INSTITUTUL ONCOLOGIC "PROF. DR. AL. TRESTIOREANU" BUCUREȘTI</t>
  </si>
  <si>
    <t>B_20</t>
  </si>
  <si>
    <t>U0029/2023</t>
  </si>
  <si>
    <t>INSTITUTUL NAȚIONAL PENTRU SĂNĂTATEA MAMEI ȘI COPILULUI "ALESSANDRESCU - RUSESCU"</t>
  </si>
  <si>
    <t>B_15</t>
  </si>
  <si>
    <t>U0042/2023</t>
  </si>
  <si>
    <t>SPITALUL CLINIC DE ORTOPEDIE-TRAUMATOLOGIE "FOIȘOR" BUCUREȘTI</t>
  </si>
  <si>
    <t>B_23</t>
  </si>
  <si>
    <t>U0035/2023</t>
  </si>
  <si>
    <t>SPITALUL CLINIC COLȚEA</t>
  </si>
  <si>
    <t>B_70</t>
  </si>
  <si>
    <t>U0050/2023</t>
  </si>
  <si>
    <t>INSTITUTUL NAȚIONAL DE RECUPERARE, MEDICINĂ FIZICĂ ȘI BALNEOCLIMATOLOGIE</t>
  </si>
  <si>
    <t>B_29</t>
  </si>
  <si>
    <t>U0008/2023</t>
  </si>
  <si>
    <t>SPITALUL CLINIC DE URGENȚĂ "SF.IOAN" BUCUREȘTI</t>
  </si>
  <si>
    <t>B_60</t>
  </si>
  <si>
    <t>U0045/2023</t>
  </si>
  <si>
    <t>SPITALUL DE BOLNAVI CRONICI ȘI GERIATRIE SF. LUCA</t>
  </si>
  <si>
    <t>B_28</t>
  </si>
  <si>
    <t>U0044/2023</t>
  </si>
  <si>
    <t>SPITALUL CLINIC DE URGENȚĂ PENTRU COPII "M.S.CURIE"</t>
  </si>
  <si>
    <t>B_35</t>
  </si>
  <si>
    <t>U0006/2023</t>
  </si>
  <si>
    <t>SPITALUL CLINIC DE URGENȚĂ "DR.BAGDASAR-ARSENI"</t>
  </si>
  <si>
    <t>B_36</t>
  </si>
  <si>
    <t>U0021/2023</t>
  </si>
  <si>
    <t>INSTITUTUL NAȚIONAL DE NEUROLOGIE ȘI BOLI NEUROVASCULARE BUCUREȘTI</t>
  </si>
  <si>
    <t>B_47</t>
  </si>
  <si>
    <t>U0002/2023</t>
  </si>
  <si>
    <t>INSTITUTUL DE PNEUMOLOGIE MARIUS NASTA</t>
  </si>
  <si>
    <t>B_31</t>
  </si>
  <si>
    <t>U0048/2023</t>
  </si>
  <si>
    <t>SPITALUL CLINIC "DR.THEODOR BURGHELE" BUCUREȘTI</t>
  </si>
  <si>
    <t>B_32</t>
  </si>
  <si>
    <t>U0014/2023</t>
  </si>
  <si>
    <t>INSTITUTUL DE FONOAUDIOLOGIE ȘI CHIRURGIE FUNCȚIONALĂ ORL "DR. HOCIOTĂ"</t>
  </si>
  <si>
    <t>B_33</t>
  </si>
  <si>
    <t>U0017/2023</t>
  </si>
  <si>
    <t>SPITALUL DE URGENȚĂ UNIVERSITAR BUCUREȘTI</t>
  </si>
  <si>
    <t>B_09</t>
  </si>
  <si>
    <t>U0033/2023</t>
  </si>
  <si>
    <t>SPITALUL CLINIC DE CHIRURGIE OMF "PROF. DR. DAN THEODORESCU" BUCUREȘTI</t>
  </si>
  <si>
    <t>B_34</t>
  </si>
  <si>
    <t>U0016/2023</t>
  </si>
  <si>
    <t>SPITALUL CLINIC DE OBSTETRICĂ-GINECOLOGIE "DR.PANAIT SÂRBU" BUCUREȘTI</t>
  </si>
  <si>
    <t>B_25</t>
  </si>
  <si>
    <t>U0025/2023</t>
  </si>
  <si>
    <t>SPITALUL CLINIC DE BOLI INFECȚIOASE ȘI BOLI TROPICALE "DR.V.BABEȘ" BUCUREȘTI</t>
  </si>
  <si>
    <t>B_27</t>
  </si>
  <si>
    <t>U0023/2023</t>
  </si>
  <si>
    <t>SPITALUL CLINIC DE PSIHIATRIE PROF. DR. "AL. OBREGIA"</t>
  </si>
  <si>
    <t>B_48</t>
  </si>
  <si>
    <t>U0005/2023</t>
  </si>
  <si>
    <t>INSTITUTUL DE BOLI INFECȚIOASE "Dr. MATEI BALȘ"</t>
  </si>
  <si>
    <t>B_40</t>
  </si>
  <si>
    <t>U0013/2023</t>
  </si>
  <si>
    <t>SPITALUL DE PNEUMOFTIZIOLOGIE "SF. ȘTEFAN"</t>
  </si>
  <si>
    <t>B_80</t>
  </si>
  <si>
    <t>U0051/2023</t>
  </si>
  <si>
    <t>SPITALUL UNIVERSITAR DE URGENȚĂ "ELIAS"</t>
  </si>
  <si>
    <t>B_90</t>
  </si>
  <si>
    <t>U0053/2023</t>
  </si>
  <si>
    <t>SPITALUL DE PSIHIATRIE  DR. "CONSTANTIN GORGOS"</t>
  </si>
  <si>
    <t>B_91</t>
  </si>
  <si>
    <t>U0054/2023</t>
  </si>
  <si>
    <t>CREȘTINĂ MEDICALĂ MUNPOSAN '94 SRL</t>
  </si>
  <si>
    <t>B_49</t>
  </si>
  <si>
    <t>U0056/2023</t>
  </si>
  <si>
    <t>C.N.M.R.N. "NICOLAE ROBĂNESCU"</t>
  </si>
  <si>
    <t>B_95</t>
  </si>
  <si>
    <t>U0057/2023</t>
  </si>
  <si>
    <t>EUROCLINIC HOSPITAL SA</t>
  </si>
  <si>
    <t>B_96</t>
  </si>
  <si>
    <t>U0059/2023</t>
  </si>
  <si>
    <t>MED LIFE SA</t>
  </si>
  <si>
    <t>B_99</t>
  </si>
  <si>
    <t>U0062/2023</t>
  </si>
  <si>
    <t>GRAL MEDICAL SRL</t>
  </si>
  <si>
    <t>B_103</t>
  </si>
  <si>
    <t>U0066/2023</t>
  </si>
  <si>
    <t>CENTRUL MEDICAL UNIREA SRL</t>
  </si>
  <si>
    <t>B_101</t>
  </si>
  <si>
    <t>U0064/2023</t>
  </si>
  <si>
    <t>TINOS CLINIC SRL</t>
  </si>
  <si>
    <t>B_109</t>
  </si>
  <si>
    <t>U0071/2023</t>
  </si>
  <si>
    <t>FOCUS LAB PLUS S.R.L.</t>
  </si>
  <si>
    <t>B_110</t>
  </si>
  <si>
    <t>U0069/2023</t>
  </si>
  <si>
    <t>ANGIOMEDICA - NOI ȘTIM CE AI PE INIMĂ SRL</t>
  </si>
  <si>
    <t>B_111</t>
  </si>
  <si>
    <t>U0070/2023</t>
  </si>
  <si>
    <t>CLINICA NEWMEDICS SRL</t>
  </si>
  <si>
    <t>B_112</t>
  </si>
  <si>
    <t>U0072/2023</t>
  </si>
  <si>
    <t>AFFIDEA ROMANIA SRL</t>
  </si>
  <si>
    <t>B_113</t>
  </si>
  <si>
    <t>U0074/2023</t>
  </si>
  <si>
    <t>DELTA HEALTH CARE SRL</t>
  </si>
  <si>
    <t>B_116</t>
  </si>
  <si>
    <t>U0073/2023</t>
  </si>
  <si>
    <t>SANADOR SRL</t>
  </si>
  <si>
    <t>B_117</t>
  </si>
  <si>
    <t>U0079/2023</t>
  </si>
  <si>
    <t>SANAMED HOSPITAL SRL</t>
  </si>
  <si>
    <t>B_114</t>
  </si>
  <si>
    <t>U0078/2023</t>
  </si>
  <si>
    <t>CLINICA MEDICALĂ HIPOCRAT 2000 SRL</t>
  </si>
  <si>
    <t>B_118</t>
  </si>
  <si>
    <t>U0080/2023</t>
  </si>
  <si>
    <t>WEST EYE HOSPITAL SRL</t>
  </si>
  <si>
    <t>B_124</t>
  </si>
  <si>
    <t>U0059BIS/2023</t>
  </si>
  <si>
    <t>MEDLIFE SA BUCUREȘTI - SUCURSALA BUCUREȘTI</t>
  </si>
  <si>
    <t>B_122</t>
  </si>
  <si>
    <t>U0082/2023</t>
  </si>
  <si>
    <t>MEDICOVER SRL</t>
  </si>
  <si>
    <t>B_128</t>
  </si>
  <si>
    <t>U0086/2023</t>
  </si>
  <si>
    <t>MEDICOVER HOSPITALS SRL</t>
  </si>
  <si>
    <t>B_130</t>
  </si>
  <si>
    <t>U0087/2023</t>
  </si>
  <si>
    <t>LAURUS MEDICAL SRL</t>
  </si>
  <si>
    <t>T_02</t>
  </si>
  <si>
    <t>U0084/2023</t>
  </si>
  <si>
    <t>SPITALUL UNIVERSITAR CF WITING</t>
  </si>
  <si>
    <t>T_01</t>
  </si>
  <si>
    <t>U0083/2023</t>
  </si>
  <si>
    <t>SPITALUL CLINIC CF2 BUCUREȘTI</t>
  </si>
  <si>
    <t>B_126</t>
  </si>
  <si>
    <t>U0088/2023</t>
  </si>
  <si>
    <t>UROCLIN</t>
  </si>
  <si>
    <t>B_129</t>
  </si>
  <si>
    <t>U0085/2023</t>
  </si>
  <si>
    <t>POLICLINICO DI MONZA</t>
  </si>
  <si>
    <t>B_136</t>
  </si>
  <si>
    <t>U0096/2023</t>
  </si>
  <si>
    <t>PROMED SYSTEM SRL</t>
  </si>
  <si>
    <t>B_140</t>
  </si>
  <si>
    <t>U0100/2023</t>
  </si>
  <si>
    <t>FUNDAȚIA DR. V. BABEȘ</t>
  </si>
  <si>
    <t>B_133</t>
  </si>
  <si>
    <t>U0093/2023</t>
  </si>
  <si>
    <t>CENTRUL MEDICAL OVERMED SRL</t>
  </si>
  <si>
    <t>B_138</t>
  </si>
  <si>
    <t>U0098/2023</t>
  </si>
  <si>
    <t>MNT HEALTHCARE SRL</t>
  </si>
  <si>
    <t>B_131</t>
  </si>
  <si>
    <t>U0091/2023</t>
  </si>
  <si>
    <t>BAU M.A.N. CONSTRUCT SRL</t>
  </si>
  <si>
    <t>B_132</t>
  </si>
  <si>
    <t>U0092/2023</t>
  </si>
  <si>
    <t>IMUNOCLASS SRL</t>
  </si>
  <si>
    <t>B_134</t>
  </si>
  <si>
    <t>U0094/2023</t>
  </si>
  <si>
    <t>NUTRILIFE SRL</t>
  </si>
  <si>
    <t>B_146</t>
  </si>
  <si>
    <t>U0106/2023</t>
  </si>
  <si>
    <t>SAPIENS MEDICAL SRL</t>
  </si>
  <si>
    <t>B_147</t>
  </si>
  <si>
    <t>U0107/2023</t>
  </si>
  <si>
    <t>FUNDAȚIA HOSPICE CASA SPERANȚEI</t>
  </si>
  <si>
    <t>B_150</t>
  </si>
  <si>
    <t>U0109/2023</t>
  </si>
  <si>
    <t>CENTRUL DE DIAGNOSTIC ȘI TRATAMENT PROVITA SA</t>
  </si>
  <si>
    <t>B_149</t>
  </si>
  <si>
    <t>U0108/2023</t>
  </si>
  <si>
    <t>ASOCIAȚIA CENTRUL DE ÎNGRIJIRE CASA SUTER</t>
  </si>
  <si>
    <t>B_153</t>
  </si>
  <si>
    <t>U0111/2023</t>
  </si>
  <si>
    <t>VICTORIA MEDICAL CENTER SRL</t>
  </si>
  <si>
    <t>b_152</t>
  </si>
  <si>
    <t>Eligon</t>
  </si>
  <si>
    <t>B_156</t>
  </si>
  <si>
    <t>U0115/2023</t>
  </si>
  <si>
    <t>LOTUS MED S.R.L.</t>
  </si>
  <si>
    <t>B_158</t>
  </si>
  <si>
    <t>U0117/2023</t>
  </si>
  <si>
    <t>AIS CLINCS&amp;HOSPITAL SRL</t>
  </si>
  <si>
    <t>B_159</t>
  </si>
  <si>
    <t>U0118/2023</t>
  </si>
  <si>
    <t>INFOSAN SRL</t>
  </si>
  <si>
    <t>B_160</t>
  </si>
  <si>
    <t>U0119/2023</t>
  </si>
  <si>
    <t>MEDICAL CITY BLUE SRL</t>
  </si>
  <si>
    <t>B_161</t>
  </si>
  <si>
    <t>U0120/2023</t>
  </si>
  <si>
    <t>MEDEUROPA SRL</t>
  </si>
  <si>
    <t>B_167</t>
  </si>
  <si>
    <t>U0126/2023</t>
  </si>
  <si>
    <t>SPITALUL DE ONCOLOGIE MONZA</t>
  </si>
  <si>
    <t>B_164</t>
  </si>
  <si>
    <t>U0123/2023</t>
  </si>
  <si>
    <t>INTERCARDIOCLINIQUE SRL</t>
  </si>
  <si>
    <t>B_165</t>
  </si>
  <si>
    <t>U0124/2023</t>
  </si>
  <si>
    <t>DIAMEDICA SRL</t>
  </si>
  <si>
    <t>B_162</t>
  </si>
  <si>
    <t>U0121/2023</t>
  </si>
  <si>
    <t>DIGESTMED SRL</t>
  </si>
  <si>
    <t>B_163</t>
  </si>
  <si>
    <t>U0122/2023</t>
  </si>
  <si>
    <t>REVERA ASSISTED SRL</t>
  </si>
  <si>
    <t>B_166</t>
  </si>
  <si>
    <t>U0125/2023</t>
  </si>
  <si>
    <t>IMUNOMEDICA PROVITA SRL</t>
  </si>
  <si>
    <t>B_97</t>
  </si>
  <si>
    <t>U0060/2023</t>
  </si>
  <si>
    <t>SFANTA LUCIA</t>
  </si>
  <si>
    <t>B_168</t>
  </si>
  <si>
    <t>U0127/2023</t>
  </si>
  <si>
    <t>DONNA ONCOLOGY SRL</t>
  </si>
  <si>
    <t>B_169</t>
  </si>
  <si>
    <t>U0128/2023</t>
  </si>
  <si>
    <t>MONZA ARES SRL</t>
  </si>
  <si>
    <t>B_170</t>
  </si>
  <si>
    <t>U0129/2024</t>
  </si>
  <si>
    <t>SC ANNA CLINICS SRL</t>
  </si>
  <si>
    <t>B_171</t>
  </si>
  <si>
    <t>U0130/2024</t>
  </si>
  <si>
    <t>SC NEUROCITY SRL</t>
  </si>
  <si>
    <t>TOTAL</t>
  </si>
  <si>
    <t>SSZ TRIM I  INITIAL</t>
  </si>
  <si>
    <t>SSZ IUN</t>
  </si>
</sst>
</file>

<file path=xl/styles.xml><?xml version="1.0" encoding="utf-8"?>
<styleSheet xmlns="http://schemas.openxmlformats.org/spreadsheetml/2006/main">
  <numFmts count="2">
    <numFmt numFmtId="43" formatCode="_-* #,##0.00\ _l_e_i_-;\-* #,##0.00\ _l_e_i_-;_-* &quot;-&quot;??\ _l_e_i_-;_-@_-"/>
    <numFmt numFmtId="164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</cellStyleXfs>
  <cellXfs count="78">
    <xf numFmtId="0" fontId="0" fillId="0" borderId="0" xfId="0"/>
    <xf numFmtId="0" fontId="0" fillId="4" borderId="0" xfId="0" applyFill="1"/>
    <xf numFmtId="0" fontId="4" fillId="4" borderId="0" xfId="0" applyFont="1" applyFill="1"/>
    <xf numFmtId="0" fontId="4" fillId="4" borderId="0" xfId="0" applyFont="1" applyFill="1" applyAlignment="1">
      <alignment horizontal="right"/>
    </xf>
    <xf numFmtId="43" fontId="5" fillId="4" borderId="0" xfId="1" applyFont="1" applyFill="1" applyAlignment="1">
      <alignment horizontal="right"/>
    </xf>
    <xf numFmtId="43" fontId="0" fillId="4" borderId="0" xfId="0" applyNumberFormat="1" applyFill="1"/>
    <xf numFmtId="0" fontId="6" fillId="4" borderId="0" xfId="0" applyFont="1" applyFill="1"/>
    <xf numFmtId="4" fontId="0" fillId="4" borderId="0" xfId="0" applyNumberFormat="1" applyFill="1"/>
    <xf numFmtId="43" fontId="0" fillId="4" borderId="0" xfId="1" applyFont="1" applyFill="1"/>
    <xf numFmtId="43" fontId="6" fillId="4" borderId="0" xfId="1" applyFont="1" applyFill="1"/>
    <xf numFmtId="43" fontId="0" fillId="5" borderId="0" xfId="1" applyFont="1" applyFill="1"/>
    <xf numFmtId="0" fontId="5" fillId="4" borderId="1" xfId="0" applyFont="1" applyFill="1" applyBorder="1"/>
    <xf numFmtId="0" fontId="5" fillId="4" borderId="1" xfId="0" applyFont="1" applyFill="1" applyBorder="1" applyAlignment="1">
      <alignment horizontal="right"/>
    </xf>
    <xf numFmtId="43" fontId="5" fillId="4" borderId="1" xfId="1" applyFont="1" applyFill="1" applyBorder="1" applyAlignment="1">
      <alignment horizontal="right"/>
    </xf>
    <xf numFmtId="0" fontId="0" fillId="4" borderId="1" xfId="0" applyFill="1" applyBorder="1"/>
    <xf numFmtId="0" fontId="6" fillId="4" borderId="1" xfId="0" applyFont="1" applyFill="1" applyBorder="1"/>
    <xf numFmtId="43" fontId="0" fillId="4" borderId="1" xfId="1" applyFont="1" applyFill="1" applyBorder="1"/>
    <xf numFmtId="43" fontId="6" fillId="4" borderId="1" xfId="1" applyFont="1" applyFill="1" applyBorder="1"/>
    <xf numFmtId="43" fontId="0" fillId="5" borderId="1" xfId="1" applyFont="1" applyFill="1" applyBorder="1"/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right" vertical="center"/>
    </xf>
    <xf numFmtId="43" fontId="8" fillId="4" borderId="1" xfId="1" applyFont="1" applyFill="1" applyBorder="1" applyAlignment="1">
      <alignment horizontal="right" vertical="center"/>
    </xf>
    <xf numFmtId="43" fontId="0" fillId="4" borderId="1" xfId="0" applyNumberFormat="1" applyFill="1" applyBorder="1"/>
    <xf numFmtId="43" fontId="6" fillId="4" borderId="1" xfId="0" applyNumberFormat="1" applyFont="1" applyFill="1" applyBorder="1"/>
    <xf numFmtId="43" fontId="7" fillId="4" borderId="1" xfId="1" applyFont="1" applyFill="1" applyBorder="1" applyAlignment="1">
      <alignment horizontal="center" vertical="center"/>
    </xf>
    <xf numFmtId="43" fontId="7" fillId="4" borderId="2" xfId="1" applyFont="1" applyFill="1" applyBorder="1" applyAlignment="1">
      <alignment vertical="center" wrapText="1"/>
    </xf>
    <xf numFmtId="43" fontId="7" fillId="4" borderId="1" xfId="1" applyFont="1" applyFill="1" applyBorder="1" applyAlignment="1">
      <alignment horizontal="right" vertical="center"/>
    </xf>
    <xf numFmtId="43" fontId="7" fillId="4" borderId="2" xfId="1" applyFont="1" applyFill="1" applyBorder="1" applyAlignment="1">
      <alignment horizontal="center" vertical="center"/>
    </xf>
    <xf numFmtId="43" fontId="7" fillId="5" borderId="1" xfId="1" applyFont="1" applyFill="1" applyBorder="1" applyAlignment="1">
      <alignment horizontal="center" vertical="center"/>
    </xf>
    <xf numFmtId="43" fontId="8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43" fontId="7" fillId="4" borderId="1" xfId="1" applyFont="1" applyFill="1" applyBorder="1" applyAlignment="1">
      <alignment vertical="center" wrapText="1"/>
    </xf>
    <xf numFmtId="0" fontId="7" fillId="4" borderId="1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right" vertical="center"/>
    </xf>
    <xf numFmtId="43" fontId="7" fillId="4" borderId="3" xfId="1" applyFont="1" applyFill="1" applyBorder="1" applyAlignment="1">
      <alignment vertical="center" wrapText="1"/>
    </xf>
    <xf numFmtId="43" fontId="7" fillId="4" borderId="3" xfId="1" applyFont="1" applyFill="1" applyBorder="1" applyAlignment="1">
      <alignment horizontal="right" vertical="center"/>
    </xf>
    <xf numFmtId="43" fontId="7" fillId="4" borderId="3" xfId="1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 wrapText="1"/>
    </xf>
    <xf numFmtId="43" fontId="7" fillId="4" borderId="0" xfId="1" applyFont="1" applyFill="1" applyAlignment="1">
      <alignment vertical="center" wrapText="1"/>
    </xf>
    <xf numFmtId="43" fontId="7" fillId="4" borderId="0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right" vertical="center"/>
    </xf>
    <xf numFmtId="43" fontId="7" fillId="4" borderId="0" xfId="1" applyFont="1" applyFill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43" fontId="7" fillId="4" borderId="1" xfId="1" applyFont="1" applyFill="1" applyBorder="1" applyAlignment="1">
      <alignment horizontal="left" vertical="center" wrapText="1"/>
    </xf>
    <xf numFmtId="0" fontId="7" fillId="4" borderId="1" xfId="3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 wrapText="1"/>
    </xf>
    <xf numFmtId="43" fontId="7" fillId="4" borderId="4" xfId="1" applyFont="1" applyFill="1" applyBorder="1" applyAlignment="1">
      <alignment vertical="center" wrapText="1"/>
    </xf>
    <xf numFmtId="43" fontId="7" fillId="4" borderId="4" xfId="1" applyFont="1" applyFill="1" applyBorder="1" applyAlignment="1">
      <alignment horizontal="center" vertic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right"/>
    </xf>
    <xf numFmtId="43" fontId="4" fillId="4" borderId="1" xfId="1" applyFont="1" applyFill="1" applyBorder="1"/>
    <xf numFmtId="43" fontId="4" fillId="4" borderId="1" xfId="1" applyFont="1" applyFill="1" applyBorder="1" applyAlignment="1">
      <alignment horizontal="right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1" xfId="2" applyNumberFormat="1" applyFont="1" applyFill="1" applyBorder="1" applyAlignment="1">
      <alignment horizontal="center" vertical="center"/>
    </xf>
    <xf numFmtId="0" fontId="7" fillId="4" borderId="1" xfId="3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right"/>
    </xf>
    <xf numFmtId="43" fontId="9" fillId="4" borderId="1" xfId="1" applyFont="1" applyFill="1" applyBorder="1"/>
    <xf numFmtId="43" fontId="9" fillId="4" borderId="1" xfId="1" applyFont="1" applyFill="1" applyBorder="1" applyAlignment="1">
      <alignment horizontal="right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43" fontId="0" fillId="4" borderId="1" xfId="1" applyFont="1" applyFill="1" applyBorder="1" applyAlignment="1">
      <alignment horizontal="center" vertical="center"/>
    </xf>
    <xf numFmtId="43" fontId="0" fillId="4" borderId="1" xfId="1" applyFont="1" applyFill="1" applyBorder="1" applyAlignment="1">
      <alignment vertical="center" wrapText="1"/>
    </xf>
    <xf numFmtId="2" fontId="11" fillId="4" borderId="1" xfId="4" applyNumberFormat="1" applyFont="1" applyFill="1" applyBorder="1" applyAlignment="1">
      <alignment horizontal="left" vertical="center" wrapText="1"/>
    </xf>
    <xf numFmtId="2" fontId="11" fillId="4" borderId="1" xfId="4" applyNumberFormat="1" applyFont="1" applyFill="1" applyBorder="1" applyAlignment="1">
      <alignment horizontal="right" vertical="center" wrapText="1"/>
    </xf>
    <xf numFmtId="43" fontId="12" fillId="4" borderId="1" xfId="1" applyFont="1" applyFill="1" applyBorder="1" applyAlignment="1">
      <alignment horizontal="right" vertical="center" wrapText="1"/>
    </xf>
    <xf numFmtId="43" fontId="12" fillId="5" borderId="1" xfId="1" applyFont="1" applyFill="1" applyBorder="1" applyAlignment="1">
      <alignment horizontal="right" vertical="center" wrapText="1"/>
    </xf>
    <xf numFmtId="0" fontId="0" fillId="4" borderId="0" xfId="0" applyFill="1" applyBorder="1"/>
    <xf numFmtId="0" fontId="4" fillId="4" borderId="0" xfId="0" applyFont="1" applyFill="1" applyBorder="1"/>
    <xf numFmtId="2" fontId="11" fillId="4" borderId="0" xfId="4" applyNumberFormat="1" applyFont="1" applyFill="1" applyBorder="1" applyAlignment="1">
      <alignment horizontal="left" vertical="center" wrapText="1"/>
    </xf>
    <xf numFmtId="2" fontId="11" fillId="4" borderId="0" xfId="4" applyNumberFormat="1" applyFont="1" applyFill="1" applyBorder="1" applyAlignment="1">
      <alignment horizontal="right" vertical="center" wrapText="1"/>
    </xf>
    <xf numFmtId="43" fontId="12" fillId="4" borderId="0" xfId="1" applyFont="1" applyFill="1" applyBorder="1" applyAlignment="1">
      <alignment horizontal="right" vertical="center" wrapText="1"/>
    </xf>
    <xf numFmtId="43" fontId="12" fillId="5" borderId="0" xfId="1" applyFont="1" applyFill="1" applyBorder="1" applyAlignment="1">
      <alignment horizontal="right" vertical="center" wrapText="1"/>
    </xf>
  </cellXfs>
  <cellStyles count="8">
    <cellStyle name="Bad" xfId="3" builtinId="27"/>
    <cellStyle name="Comma" xfId="1" builtinId="3"/>
    <cellStyle name="Comma 2" xfId="5"/>
    <cellStyle name="Comma 3" xfId="6"/>
    <cellStyle name="Good" xfId="2" builtinId="26"/>
    <cellStyle name="Normal" xfId="0" builtinId="0"/>
    <cellStyle name="Normal 2 2" xfId="4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E%20SPITALE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TARI SUME REG SEM I 01.08.202"/>
      <sheetName val="01.08.2024 ALOCARE AUGUST"/>
      <sheetName val="31.07.2024 MUTARI SUME REG T2"/>
      <sheetName val="22.07.2024 FARA P IULIE"/>
      <sheetName val="17.07.2024 SUPL SSZ IUN"/>
      <sheetName val="10.07.2024 SUPL SSZ MAI"/>
      <sheetName val="28.06.2024 ALOCARE IULIE"/>
      <sheetName val="25.06.2024 FARA P IUNIE"/>
      <sheetName val="31.05.2024  ALOCARE IUNIE"/>
      <sheetName val="24.05.2024 FARA P MAI"/>
      <sheetName val="24.05.2024 SUPLIM SSZ TRIM I"/>
      <sheetName val="24.05.2024 MUTARI SUME TRIM I "/>
      <sheetName val="23.05.2024 SUPLIM SSZ APRILIE "/>
      <sheetName val="30.04.2024 ALOCARE MAI"/>
      <sheetName val="18.04.2024 FARA P APRILIE"/>
      <sheetName val="05.04.2024  MODIF BABES  BAGDAS"/>
      <sheetName val="01.04.2024 ALOCARE APRILIE"/>
      <sheetName val=" 28.03.2024 SUPLIM SSZ FEB"/>
      <sheetName val=" 25.03.2024 FARA P MAR "/>
      <sheetName val="ALOCARE MARTIE 01.03.2024"/>
      <sheetName val="SUPLIM SSZ IAN 29.02.2024"/>
      <sheetName val="SUPLIM SSZ REG 2023 29.02.2024"/>
      <sheetName val="FARA P FEB 2024 20.02.2024"/>
      <sheetName val="FEB 2024 31.01.2024"/>
      <sheetName val="IANUARIE 2024 29.12.2023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>
        <row r="97">
          <cell r="BG97">
            <v>1908678031.3199997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P101"/>
  <sheetViews>
    <sheetView tabSelected="1" zoomScale="87" zoomScaleNormal="87" workbookViewId="0">
      <pane xSplit="4" ySplit="2" topLeftCell="AV11" activePane="bottomRight" state="frozen"/>
      <selection pane="topRight" activeCell="C1" sqref="C1"/>
      <selection pane="bottomLeft" activeCell="A7" sqref="A7"/>
      <selection pane="bottomRight" activeCell="A102" sqref="A102:XFD127"/>
    </sheetView>
  </sheetViews>
  <sheetFormatPr defaultRowHeight="15"/>
  <cols>
    <col min="1" max="1" width="7.5703125" style="1" customWidth="1"/>
    <col min="2" max="2" width="11.140625" style="1" bestFit="1" customWidth="1"/>
    <col min="3" max="3" width="14.5703125" style="2" bestFit="1" customWidth="1"/>
    <col min="4" max="4" width="47.85546875" style="2" customWidth="1"/>
    <col min="5" max="5" width="10.42578125" style="3" customWidth="1"/>
    <col min="6" max="6" width="22" style="4" customWidth="1"/>
    <col min="7" max="7" width="23.28515625" style="1" customWidth="1"/>
    <col min="8" max="8" width="22.42578125" style="1" customWidth="1"/>
    <col min="9" max="9" width="20.28515625" style="1" customWidth="1"/>
    <col min="10" max="10" width="20.42578125" style="1" customWidth="1"/>
    <col min="11" max="13" width="20.42578125" style="6" customWidth="1"/>
    <col min="14" max="14" width="20.28515625" style="6" customWidth="1"/>
    <col min="15" max="15" width="19.42578125" style="1" customWidth="1"/>
    <col min="16" max="17" width="17" style="1" customWidth="1"/>
    <col min="18" max="18" width="20.7109375" style="1" customWidth="1"/>
    <col min="19" max="20" width="17" style="1" customWidth="1"/>
    <col min="21" max="21" width="18.7109375" style="1" customWidth="1"/>
    <col min="22" max="22" width="19.7109375" style="8" customWidth="1"/>
    <col min="23" max="23" width="17" style="8" customWidth="1"/>
    <col min="24" max="24" width="16" style="8" customWidth="1"/>
    <col min="25" max="26" width="17.7109375" style="8" customWidth="1"/>
    <col min="27" max="27" width="18.140625" style="8" customWidth="1"/>
    <col min="28" max="34" width="18.140625" style="9" customWidth="1"/>
    <col min="35" max="60" width="18.140625" style="8" customWidth="1"/>
    <col min="61" max="65" width="18.140625" style="10" customWidth="1"/>
    <col min="66" max="66" width="22.28515625" style="9" customWidth="1"/>
    <col min="67" max="67" width="19.5703125" style="1" bestFit="1" customWidth="1"/>
    <col min="68" max="68" width="13.140625" style="1" bestFit="1" customWidth="1"/>
    <col min="69" max="16384" width="9.140625" style="1"/>
  </cols>
  <sheetData>
    <row r="1" spans="1:66">
      <c r="G1" s="5">
        <f>+G77+O77+V77+AI77+AP77+AW77</f>
        <v>708679.97666666668</v>
      </c>
      <c r="R1" s="5"/>
      <c r="S1" s="7"/>
      <c r="U1" s="7"/>
      <c r="AF1" s="9">
        <f>+AB47+AI47+AP47+AW47</f>
        <v>9403623.8100000005</v>
      </c>
    </row>
    <row r="2" spans="1:66">
      <c r="A2" s="1" t="s">
        <v>0</v>
      </c>
      <c r="B2" s="1" t="s">
        <v>1</v>
      </c>
      <c r="C2" s="11" t="s">
        <v>2</v>
      </c>
      <c r="D2" s="11" t="s">
        <v>3</v>
      </c>
      <c r="E2" s="12" t="s">
        <v>4</v>
      </c>
      <c r="F2" s="13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5" t="s">
        <v>10</v>
      </c>
      <c r="L2" s="15"/>
      <c r="M2" s="15"/>
      <c r="N2" s="15" t="s">
        <v>11</v>
      </c>
      <c r="O2" s="14" t="s">
        <v>12</v>
      </c>
      <c r="P2" s="14" t="s">
        <v>13</v>
      </c>
      <c r="Q2" s="14" t="s">
        <v>14</v>
      </c>
      <c r="R2" s="14" t="s">
        <v>15</v>
      </c>
      <c r="S2" s="14" t="s">
        <v>16</v>
      </c>
      <c r="T2" s="14"/>
      <c r="U2" s="14" t="s">
        <v>17</v>
      </c>
      <c r="V2" s="16" t="s">
        <v>18</v>
      </c>
      <c r="W2" s="16" t="s">
        <v>19</v>
      </c>
      <c r="X2" s="16" t="s">
        <v>20</v>
      </c>
      <c r="Y2" s="16" t="s">
        <v>21</v>
      </c>
      <c r="Z2" s="16"/>
      <c r="AA2" s="16" t="s">
        <v>22</v>
      </c>
      <c r="AB2" s="17" t="s">
        <v>23</v>
      </c>
      <c r="AC2" s="17" t="s">
        <v>24</v>
      </c>
      <c r="AD2" s="17" t="s">
        <v>25</v>
      </c>
      <c r="AE2" s="17" t="s">
        <v>26</v>
      </c>
      <c r="AF2" s="17" t="s">
        <v>27</v>
      </c>
      <c r="AG2" s="17" t="s">
        <v>28</v>
      </c>
      <c r="AH2" s="17" t="s">
        <v>29</v>
      </c>
      <c r="AI2" s="16" t="s">
        <v>30</v>
      </c>
      <c r="AJ2" s="16" t="s">
        <v>31</v>
      </c>
      <c r="AK2" s="16" t="s">
        <v>32</v>
      </c>
      <c r="AL2" s="16" t="s">
        <v>33</v>
      </c>
      <c r="AM2" s="16" t="s">
        <v>34</v>
      </c>
      <c r="AN2" s="16"/>
      <c r="AO2" s="16" t="s">
        <v>35</v>
      </c>
      <c r="AP2" s="16" t="s">
        <v>36</v>
      </c>
      <c r="AQ2" s="16" t="s">
        <v>37</v>
      </c>
      <c r="AR2" s="16" t="s">
        <v>38</v>
      </c>
      <c r="AS2" s="16" t="s">
        <v>39</v>
      </c>
      <c r="AT2" s="16" t="s">
        <v>40</v>
      </c>
      <c r="AU2" s="16"/>
      <c r="AV2" s="16" t="s">
        <v>41</v>
      </c>
      <c r="AW2" s="16" t="s">
        <v>42</v>
      </c>
      <c r="AX2" s="16" t="s">
        <v>43</v>
      </c>
      <c r="AY2" s="16" t="s">
        <v>44</v>
      </c>
      <c r="AZ2" s="16" t="s">
        <v>45</v>
      </c>
      <c r="BA2" s="16" t="s">
        <v>46</v>
      </c>
      <c r="BB2" s="16"/>
      <c r="BC2" s="16" t="s">
        <v>47</v>
      </c>
      <c r="BD2" s="16" t="s">
        <v>48</v>
      </c>
      <c r="BE2" s="16" t="s">
        <v>49</v>
      </c>
      <c r="BF2" s="16" t="s">
        <v>50</v>
      </c>
      <c r="BG2" s="16" t="s">
        <v>51</v>
      </c>
      <c r="BH2" s="16" t="s">
        <v>52</v>
      </c>
      <c r="BI2" s="18" t="s">
        <v>53</v>
      </c>
      <c r="BJ2" s="18" t="s">
        <v>54</v>
      </c>
      <c r="BK2" s="18" t="s">
        <v>55</v>
      </c>
      <c r="BL2" s="18" t="s">
        <v>56</v>
      </c>
      <c r="BM2" s="18" t="s">
        <v>57</v>
      </c>
      <c r="BN2" s="17" t="s">
        <v>58</v>
      </c>
    </row>
    <row r="3" spans="1:66">
      <c r="A3" s="19">
        <v>1</v>
      </c>
      <c r="B3" s="19" t="s">
        <v>59</v>
      </c>
      <c r="C3" s="19" t="s">
        <v>60</v>
      </c>
      <c r="D3" s="20" t="s">
        <v>61</v>
      </c>
      <c r="E3" s="21">
        <v>4382558</v>
      </c>
      <c r="F3" s="22">
        <v>0</v>
      </c>
      <c r="G3" s="23">
        <f>3803358.36-52044.63</f>
        <v>3751313.73</v>
      </c>
      <c r="H3" s="23">
        <v>0</v>
      </c>
      <c r="I3" s="23">
        <v>0</v>
      </c>
      <c r="J3" s="23">
        <f>274446.37</f>
        <v>274446.37</v>
      </c>
      <c r="K3" s="24">
        <v>10561.63</v>
      </c>
      <c r="L3" s="24">
        <f>+J3+K3</f>
        <v>285008</v>
      </c>
      <c r="M3" s="24">
        <f>+J3+K3</f>
        <v>285008</v>
      </c>
      <c r="N3" s="24">
        <f>+G3+H3+I3+J3+K3</f>
        <v>4036321.73</v>
      </c>
      <c r="O3" s="23">
        <v>3803358.36</v>
      </c>
      <c r="P3" s="23">
        <v>0</v>
      </c>
      <c r="Q3" s="23">
        <v>0</v>
      </c>
      <c r="R3" s="23">
        <v>274446.37</v>
      </c>
      <c r="S3" s="23">
        <v>33301.629999999997</v>
      </c>
      <c r="T3" s="23">
        <f>+R3+S3</f>
        <v>307748</v>
      </c>
      <c r="U3" s="23">
        <f>+O3+P3+Q3+R3+S3</f>
        <v>4111106.36</v>
      </c>
      <c r="V3" s="16">
        <v>3803358.36</v>
      </c>
      <c r="W3" s="16">
        <v>0</v>
      </c>
      <c r="X3" s="16">
        <v>0</v>
      </c>
      <c r="Y3" s="16">
        <f>274446.37+52044.63</f>
        <v>326491</v>
      </c>
      <c r="Z3" s="16">
        <f>+Y3+AF3</f>
        <v>326491</v>
      </c>
      <c r="AA3" s="25">
        <f t="shared" ref="AA3:AA66" si="0">+V3+W3+X3+Y3</f>
        <v>4129849.36</v>
      </c>
      <c r="AB3" s="25">
        <f t="shared" ref="AB3:AD34" si="1">+G3+O3+V3</f>
        <v>11358030.449999999</v>
      </c>
      <c r="AC3" s="26">
        <f t="shared" si="1"/>
        <v>0</v>
      </c>
      <c r="AD3" s="27">
        <f t="shared" si="1"/>
        <v>0</v>
      </c>
      <c r="AE3" s="25">
        <f t="shared" ref="AE3:AE66" si="2">+J3+R3+Y3+K3+S3</f>
        <v>919247</v>
      </c>
      <c r="AF3" s="28">
        <v>0</v>
      </c>
      <c r="AG3" s="28">
        <f>+AE3+AF3</f>
        <v>919247</v>
      </c>
      <c r="AH3" s="26">
        <f>+AB3+AC3+AD3+AG3</f>
        <v>12277277.449999999</v>
      </c>
      <c r="AI3" s="27">
        <v>3803358.36</v>
      </c>
      <c r="AJ3" s="25">
        <v>0</v>
      </c>
      <c r="AK3" s="26">
        <v>0</v>
      </c>
      <c r="AL3" s="27">
        <v>274446.37</v>
      </c>
      <c r="AM3" s="25">
        <v>47579.63</v>
      </c>
      <c r="AN3" s="28">
        <f>+AL3+AM3</f>
        <v>322026</v>
      </c>
      <c r="AO3" s="26">
        <f>+AI3+AJ3+AK3+AL3+AM3</f>
        <v>4125384.36</v>
      </c>
      <c r="AP3" s="27">
        <f>3803358.36</f>
        <v>3803358.36</v>
      </c>
      <c r="AQ3" s="25">
        <v>0</v>
      </c>
      <c r="AR3" s="26">
        <v>0</v>
      </c>
      <c r="AS3" s="27">
        <v>274446.37</v>
      </c>
      <c r="AT3" s="25">
        <v>20604.63</v>
      </c>
      <c r="AU3" s="25">
        <f>+AS3+AT3</f>
        <v>295051</v>
      </c>
      <c r="AV3" s="25">
        <f>+AP3+AQ3+AR3+AS3+AT3</f>
        <v>4098409.36</v>
      </c>
      <c r="AW3" s="25">
        <v>3803358.36</v>
      </c>
      <c r="AX3" s="25">
        <v>0</v>
      </c>
      <c r="AY3" s="25">
        <v>0</v>
      </c>
      <c r="AZ3" s="25">
        <v>274446.37</v>
      </c>
      <c r="BA3" s="25">
        <v>15106.63</v>
      </c>
      <c r="BB3" s="25">
        <f>+AZ3+BA3</f>
        <v>289553</v>
      </c>
      <c r="BC3" s="25">
        <f>+AW3+AX3+AY3+AZ3+BA3</f>
        <v>4092911.36</v>
      </c>
      <c r="BD3" s="25">
        <v>4177303.26</v>
      </c>
      <c r="BE3" s="25">
        <v>0</v>
      </c>
      <c r="BF3" s="25">
        <v>0</v>
      </c>
      <c r="BG3" s="25">
        <v>274446.37</v>
      </c>
      <c r="BH3" s="25">
        <f>+BD3+BE3+BF3+BG3</f>
        <v>4451749.63</v>
      </c>
      <c r="BI3" s="29">
        <v>4177303.26</v>
      </c>
      <c r="BJ3" s="29">
        <v>0</v>
      </c>
      <c r="BK3" s="29">
        <v>0</v>
      </c>
      <c r="BL3" s="29">
        <v>274446.37</v>
      </c>
      <c r="BM3" s="29">
        <f>+BI3+BJ3+BK3+BL3</f>
        <v>4451749.63</v>
      </c>
      <c r="BN3" s="30">
        <f>+F3+N3+U3+AA3+AF3+AO3+AV3+BC3+BH3+BM3</f>
        <v>33497481.789999995</v>
      </c>
    </row>
    <row r="4" spans="1:66" ht="30">
      <c r="A4" s="19">
        <v>2</v>
      </c>
      <c r="B4" s="19" t="s">
        <v>62</v>
      </c>
      <c r="C4" s="19" t="s">
        <v>63</v>
      </c>
      <c r="D4" s="20" t="s">
        <v>64</v>
      </c>
      <c r="E4" s="21">
        <v>4284134</v>
      </c>
      <c r="F4" s="22">
        <v>518836.12</v>
      </c>
      <c r="G4" s="23">
        <v>4714239.8899999997</v>
      </c>
      <c r="H4" s="23">
        <v>0</v>
      </c>
      <c r="I4" s="23">
        <v>0</v>
      </c>
      <c r="J4" s="23">
        <v>533251.16</v>
      </c>
      <c r="K4" s="24">
        <v>370456.84</v>
      </c>
      <c r="L4" s="24">
        <f t="shared" ref="L4:L67" si="3">+J4+K4</f>
        <v>903708</v>
      </c>
      <c r="M4" s="24">
        <f t="shared" ref="M4:M67" si="4">+J4+K4</f>
        <v>903708</v>
      </c>
      <c r="N4" s="24">
        <f t="shared" ref="N4:N67" si="5">+G4+H4+I4+J4+K4</f>
        <v>5617947.8899999997</v>
      </c>
      <c r="O4" s="23">
        <v>4714239.8899999997</v>
      </c>
      <c r="P4" s="23">
        <v>0</v>
      </c>
      <c r="Q4" s="23">
        <v>0</v>
      </c>
      <c r="R4" s="23">
        <v>533251.16</v>
      </c>
      <c r="S4" s="23">
        <v>519059.84</v>
      </c>
      <c r="T4" s="23">
        <f t="shared" ref="T4:T67" si="6">+R4+S4</f>
        <v>1052311</v>
      </c>
      <c r="U4" s="23">
        <f t="shared" ref="U4:U67" si="7">+O4+P4+Q4+R4+S4</f>
        <v>5766550.8899999997</v>
      </c>
      <c r="V4" s="16">
        <f>4714239.89+268363.31</f>
        <v>4982603.1999999993</v>
      </c>
      <c r="W4" s="16">
        <v>0</v>
      </c>
      <c r="X4" s="16">
        <v>0</v>
      </c>
      <c r="Y4" s="16">
        <v>533251.16</v>
      </c>
      <c r="Z4" s="16">
        <f t="shared" ref="Z4:Z67" si="8">+Y4+AF4</f>
        <v>1236673</v>
      </c>
      <c r="AA4" s="25">
        <f t="shared" si="0"/>
        <v>5515854.3599999994</v>
      </c>
      <c r="AB4" s="25">
        <f t="shared" si="1"/>
        <v>14411082.979999999</v>
      </c>
      <c r="AC4" s="26">
        <f t="shared" si="1"/>
        <v>0</v>
      </c>
      <c r="AD4" s="27">
        <f t="shared" si="1"/>
        <v>0</v>
      </c>
      <c r="AE4" s="25">
        <f t="shared" si="2"/>
        <v>2489270.16</v>
      </c>
      <c r="AF4" s="28">
        <v>703421.84</v>
      </c>
      <c r="AG4" s="28">
        <f t="shared" ref="AG4:AG67" si="9">+AE4+AF4</f>
        <v>3192692</v>
      </c>
      <c r="AH4" s="26">
        <f t="shared" ref="AH4:AH67" si="10">+AB4+AC4+AD4+AG4</f>
        <v>17603774.979999997</v>
      </c>
      <c r="AI4" s="27">
        <v>4714239.8899999997</v>
      </c>
      <c r="AJ4" s="25">
        <v>0</v>
      </c>
      <c r="AK4" s="26">
        <v>0</v>
      </c>
      <c r="AL4" s="27">
        <v>533251.16</v>
      </c>
      <c r="AM4" s="25">
        <v>638143.84</v>
      </c>
      <c r="AN4" s="28">
        <f t="shared" ref="AN4:AN67" si="11">+AL4+AM4</f>
        <v>1171395</v>
      </c>
      <c r="AO4" s="26">
        <f t="shared" ref="AO4:AO67" si="12">+AI4+AJ4+AK4+AL4+AM4</f>
        <v>5885634.8899999997</v>
      </c>
      <c r="AP4" s="27">
        <f>4714239.89+1105809.35</f>
        <v>5820049.2400000002</v>
      </c>
      <c r="AQ4" s="25">
        <v>0</v>
      </c>
      <c r="AR4" s="26">
        <v>0</v>
      </c>
      <c r="AS4" s="27">
        <v>533251.16</v>
      </c>
      <c r="AT4" s="25">
        <v>502480.84</v>
      </c>
      <c r="AU4" s="25">
        <f t="shared" ref="AU4:AU67" si="13">+AS4+AT4</f>
        <v>1035732</v>
      </c>
      <c r="AV4" s="25">
        <f t="shared" ref="AV4:AV67" si="14">+AP4+AQ4+AR4+AS4+AT4</f>
        <v>6855781.2400000002</v>
      </c>
      <c r="AW4" s="25">
        <v>4714239.8899999997</v>
      </c>
      <c r="AX4" s="25">
        <v>0</v>
      </c>
      <c r="AY4" s="25">
        <v>0</v>
      </c>
      <c r="AZ4" s="25">
        <v>533251.16</v>
      </c>
      <c r="BA4" s="25">
        <v>459278.84</v>
      </c>
      <c r="BB4" s="25">
        <f t="shared" ref="BB4:BB67" si="15">+AZ4+BA4</f>
        <v>992530</v>
      </c>
      <c r="BC4" s="25">
        <f t="shared" ref="BC4:BC67" si="16">+AW4+AX4+AY4+AZ4+BA4</f>
        <v>5706769.8899999997</v>
      </c>
      <c r="BD4" s="25">
        <v>5448362.8799999999</v>
      </c>
      <c r="BE4" s="25">
        <v>0</v>
      </c>
      <c r="BF4" s="25">
        <v>0</v>
      </c>
      <c r="BG4" s="25">
        <v>533251.16</v>
      </c>
      <c r="BH4" s="25">
        <f t="shared" ref="BH4:BH67" si="17">+BD4+BE4+BF4+BG4</f>
        <v>5981614.04</v>
      </c>
      <c r="BI4" s="29">
        <v>5448362.8799999999</v>
      </c>
      <c r="BJ4" s="29">
        <v>0</v>
      </c>
      <c r="BK4" s="29">
        <v>0</v>
      </c>
      <c r="BL4" s="29">
        <v>533251.16</v>
      </c>
      <c r="BM4" s="29">
        <f t="shared" ref="BM4:BM67" si="18">+BI4+BJ4+BK4+BL4</f>
        <v>5981614.04</v>
      </c>
      <c r="BN4" s="30">
        <f t="shared" ref="BN4:BN67" si="19">+F4+N4+U4+AA4+AF4+AO4+AV4+BC4+BH4+BM4</f>
        <v>48534025.199999996</v>
      </c>
    </row>
    <row r="5" spans="1:66" ht="45">
      <c r="A5" s="19">
        <v>17</v>
      </c>
      <c r="B5" s="19" t="s">
        <v>65</v>
      </c>
      <c r="C5" s="19" t="s">
        <v>66</v>
      </c>
      <c r="D5" s="20" t="s">
        <v>67</v>
      </c>
      <c r="E5" s="21">
        <v>4364632</v>
      </c>
      <c r="F5" s="22">
        <v>0</v>
      </c>
      <c r="G5" s="23">
        <v>256524.97</v>
      </c>
      <c r="H5" s="23">
        <v>0</v>
      </c>
      <c r="I5" s="23">
        <v>0</v>
      </c>
      <c r="J5" s="23">
        <v>174362.1</v>
      </c>
      <c r="K5" s="24">
        <v>0</v>
      </c>
      <c r="L5" s="24">
        <f t="shared" si="3"/>
        <v>174362.1</v>
      </c>
      <c r="M5" s="24">
        <f t="shared" si="4"/>
        <v>174362.1</v>
      </c>
      <c r="N5" s="24">
        <f t="shared" si="5"/>
        <v>430887.07</v>
      </c>
      <c r="O5" s="23">
        <v>256524.97</v>
      </c>
      <c r="P5" s="23">
        <v>0</v>
      </c>
      <c r="Q5" s="23">
        <v>0</v>
      </c>
      <c r="R5" s="23">
        <v>174362.1</v>
      </c>
      <c r="S5" s="23">
        <v>0</v>
      </c>
      <c r="T5" s="23">
        <f t="shared" si="6"/>
        <v>174362.1</v>
      </c>
      <c r="U5" s="23">
        <f t="shared" si="7"/>
        <v>430887.07</v>
      </c>
      <c r="V5" s="16">
        <v>256524.97</v>
      </c>
      <c r="W5" s="16">
        <v>0</v>
      </c>
      <c r="X5" s="16">
        <v>0</v>
      </c>
      <c r="Y5" s="16">
        <v>174362.1</v>
      </c>
      <c r="Z5" s="16">
        <f t="shared" si="8"/>
        <v>174362.1</v>
      </c>
      <c r="AA5" s="25">
        <f t="shared" si="0"/>
        <v>430887.07</v>
      </c>
      <c r="AB5" s="25">
        <f t="shared" si="1"/>
        <v>769574.91</v>
      </c>
      <c r="AC5" s="26">
        <f t="shared" si="1"/>
        <v>0</v>
      </c>
      <c r="AD5" s="27">
        <f t="shared" si="1"/>
        <v>0</v>
      </c>
      <c r="AE5" s="25">
        <f t="shared" si="2"/>
        <v>523086.30000000005</v>
      </c>
      <c r="AF5" s="28">
        <v>0</v>
      </c>
      <c r="AG5" s="28">
        <f t="shared" si="9"/>
        <v>523086.30000000005</v>
      </c>
      <c r="AH5" s="26">
        <f t="shared" si="10"/>
        <v>1292661.21</v>
      </c>
      <c r="AI5" s="27">
        <v>256524.97</v>
      </c>
      <c r="AJ5" s="25">
        <v>0</v>
      </c>
      <c r="AK5" s="26">
        <v>0</v>
      </c>
      <c r="AL5" s="27">
        <v>174362.1</v>
      </c>
      <c r="AM5" s="25">
        <v>0</v>
      </c>
      <c r="AN5" s="28">
        <f t="shared" si="11"/>
        <v>174362.1</v>
      </c>
      <c r="AO5" s="26">
        <f t="shared" si="12"/>
        <v>430887.07</v>
      </c>
      <c r="AP5" s="27">
        <f>256524.97+34100.57</f>
        <v>290625.53999999998</v>
      </c>
      <c r="AQ5" s="25">
        <v>0</v>
      </c>
      <c r="AR5" s="26">
        <v>0</v>
      </c>
      <c r="AS5" s="27">
        <v>174362.1</v>
      </c>
      <c r="AT5" s="25">
        <v>0</v>
      </c>
      <c r="AU5" s="25">
        <f t="shared" si="13"/>
        <v>174362.1</v>
      </c>
      <c r="AV5" s="25">
        <f t="shared" si="14"/>
        <v>464987.64</v>
      </c>
      <c r="AW5" s="25">
        <v>256524.97</v>
      </c>
      <c r="AX5" s="25">
        <v>0</v>
      </c>
      <c r="AY5" s="25">
        <v>0</v>
      </c>
      <c r="AZ5" s="25">
        <v>174362.1</v>
      </c>
      <c r="BA5" s="25">
        <v>0</v>
      </c>
      <c r="BB5" s="25">
        <f t="shared" si="15"/>
        <v>174362.1</v>
      </c>
      <c r="BC5" s="25">
        <f t="shared" si="16"/>
        <v>430887.07</v>
      </c>
      <c r="BD5" s="25">
        <v>242355.84</v>
      </c>
      <c r="BE5" s="25">
        <v>0</v>
      </c>
      <c r="BF5" s="25">
        <v>0</v>
      </c>
      <c r="BG5" s="25">
        <v>174362.1</v>
      </c>
      <c r="BH5" s="25">
        <f t="shared" si="17"/>
        <v>416717.94</v>
      </c>
      <c r="BI5" s="29">
        <v>242355.84</v>
      </c>
      <c r="BJ5" s="29">
        <v>0</v>
      </c>
      <c r="BK5" s="29">
        <v>0</v>
      </c>
      <c r="BL5" s="29">
        <v>174362.1</v>
      </c>
      <c r="BM5" s="29">
        <f t="shared" si="18"/>
        <v>416717.94</v>
      </c>
      <c r="BN5" s="30">
        <f t="shared" si="19"/>
        <v>3452858.8699999996</v>
      </c>
    </row>
    <row r="6" spans="1:66">
      <c r="A6" s="19">
        <v>38</v>
      </c>
      <c r="B6" s="19" t="s">
        <v>68</v>
      </c>
      <c r="C6" s="19" t="s">
        <v>69</v>
      </c>
      <c r="D6" s="20" t="s">
        <v>70</v>
      </c>
      <c r="E6" s="21">
        <v>4505332</v>
      </c>
      <c r="F6" s="22">
        <v>0</v>
      </c>
      <c r="G6" s="23">
        <v>10998587.970000001</v>
      </c>
      <c r="H6" s="23">
        <v>0</v>
      </c>
      <c r="I6" s="23">
        <v>0</v>
      </c>
      <c r="J6" s="23">
        <v>110416.05</v>
      </c>
      <c r="K6" s="24">
        <v>0</v>
      </c>
      <c r="L6" s="24">
        <f t="shared" si="3"/>
        <v>110416.05</v>
      </c>
      <c r="M6" s="24">
        <f t="shared" si="4"/>
        <v>110416.05</v>
      </c>
      <c r="N6" s="24">
        <f t="shared" si="5"/>
        <v>11109004.020000001</v>
      </c>
      <c r="O6" s="23">
        <f>10998587.97+1940927.29</f>
        <v>12939515.260000002</v>
      </c>
      <c r="P6" s="23">
        <v>0</v>
      </c>
      <c r="Q6" s="23">
        <v>0</v>
      </c>
      <c r="R6" s="23">
        <v>110416.05</v>
      </c>
      <c r="S6" s="23">
        <v>544.95000000000005</v>
      </c>
      <c r="T6" s="23">
        <f t="shared" si="6"/>
        <v>110961</v>
      </c>
      <c r="U6" s="23">
        <f t="shared" si="7"/>
        <v>13050476.260000002</v>
      </c>
      <c r="V6" s="16">
        <f>10998587.97+1940927.29</f>
        <v>12939515.260000002</v>
      </c>
      <c r="W6" s="16">
        <v>0</v>
      </c>
      <c r="X6" s="16">
        <v>0</v>
      </c>
      <c r="Y6" s="16">
        <v>110416.05</v>
      </c>
      <c r="Z6" s="16">
        <f t="shared" si="8"/>
        <v>110416.05</v>
      </c>
      <c r="AA6" s="25">
        <f t="shared" si="0"/>
        <v>13049931.310000002</v>
      </c>
      <c r="AB6" s="25">
        <f t="shared" si="1"/>
        <v>36877618.49000001</v>
      </c>
      <c r="AC6" s="26">
        <f t="shared" si="1"/>
        <v>0</v>
      </c>
      <c r="AD6" s="27">
        <f t="shared" si="1"/>
        <v>0</v>
      </c>
      <c r="AE6" s="25">
        <f t="shared" si="2"/>
        <v>331793.10000000003</v>
      </c>
      <c r="AF6" s="28">
        <v>0</v>
      </c>
      <c r="AG6" s="28">
        <f t="shared" si="9"/>
        <v>331793.10000000003</v>
      </c>
      <c r="AH6" s="26">
        <f t="shared" si="10"/>
        <v>37209411.590000011</v>
      </c>
      <c r="AI6" s="27">
        <f>10998587.97+1940927.29</f>
        <v>12939515.260000002</v>
      </c>
      <c r="AJ6" s="25">
        <v>0</v>
      </c>
      <c r="AK6" s="26">
        <v>0</v>
      </c>
      <c r="AL6" s="27">
        <v>110416.05</v>
      </c>
      <c r="AM6" s="25">
        <v>0</v>
      </c>
      <c r="AN6" s="28">
        <f t="shared" si="11"/>
        <v>110416.05</v>
      </c>
      <c r="AO6" s="26">
        <f t="shared" si="12"/>
        <v>13049931.310000002</v>
      </c>
      <c r="AP6" s="27">
        <f>10998587.97+1940927.29</f>
        <v>12939515.260000002</v>
      </c>
      <c r="AQ6" s="25">
        <v>0</v>
      </c>
      <c r="AR6" s="26">
        <v>0</v>
      </c>
      <c r="AS6" s="27">
        <v>110416.05</v>
      </c>
      <c r="AT6" s="25">
        <v>0</v>
      </c>
      <c r="AU6" s="25">
        <f t="shared" si="13"/>
        <v>110416.05</v>
      </c>
      <c r="AV6" s="25">
        <f t="shared" si="14"/>
        <v>13049931.310000002</v>
      </c>
      <c r="AW6" s="25">
        <f>10998587.97+1023403.35</f>
        <v>12021991.32</v>
      </c>
      <c r="AX6" s="25">
        <v>0</v>
      </c>
      <c r="AY6" s="25">
        <v>0</v>
      </c>
      <c r="AZ6" s="25">
        <v>110416.05</v>
      </c>
      <c r="BA6" s="25">
        <v>0</v>
      </c>
      <c r="BB6" s="25">
        <f t="shared" si="15"/>
        <v>110416.05</v>
      </c>
      <c r="BC6" s="25">
        <f t="shared" si="16"/>
        <v>12132407.370000001</v>
      </c>
      <c r="BD6" s="25">
        <f>11425925.04+1513590.22</f>
        <v>12939515.26</v>
      </c>
      <c r="BE6" s="25">
        <v>0</v>
      </c>
      <c r="BF6" s="25">
        <v>0</v>
      </c>
      <c r="BG6" s="25">
        <v>110416.05</v>
      </c>
      <c r="BH6" s="25">
        <f t="shared" si="17"/>
        <v>13049931.310000001</v>
      </c>
      <c r="BI6" s="29">
        <v>11425925.039999999</v>
      </c>
      <c r="BJ6" s="29">
        <v>0</v>
      </c>
      <c r="BK6" s="29">
        <v>0</v>
      </c>
      <c r="BL6" s="29">
        <v>110416.05</v>
      </c>
      <c r="BM6" s="29">
        <f t="shared" si="18"/>
        <v>11536341.09</v>
      </c>
      <c r="BN6" s="30">
        <f t="shared" si="19"/>
        <v>100027953.98000002</v>
      </c>
    </row>
    <row r="7" spans="1:66" ht="30">
      <c r="A7" s="19">
        <v>22</v>
      </c>
      <c r="B7" s="19" t="s">
        <v>71</v>
      </c>
      <c r="C7" s="19" t="s">
        <v>72</v>
      </c>
      <c r="D7" s="20" t="s">
        <v>73</v>
      </c>
      <c r="E7" s="21">
        <v>4382469</v>
      </c>
      <c r="F7" s="22">
        <v>29260.14</v>
      </c>
      <c r="G7" s="23">
        <v>3024516.19</v>
      </c>
      <c r="H7" s="23">
        <v>0</v>
      </c>
      <c r="I7" s="23">
        <v>0</v>
      </c>
      <c r="J7" s="23">
        <v>208600.4</v>
      </c>
      <c r="K7" s="24">
        <v>32822.6</v>
      </c>
      <c r="L7" s="24">
        <f t="shared" si="3"/>
        <v>241423</v>
      </c>
      <c r="M7" s="24">
        <f t="shared" si="4"/>
        <v>241423</v>
      </c>
      <c r="N7" s="24">
        <f t="shared" si="5"/>
        <v>3265939.19</v>
      </c>
      <c r="O7" s="23">
        <v>3024516.19</v>
      </c>
      <c r="P7" s="23">
        <v>0</v>
      </c>
      <c r="Q7" s="23">
        <v>0</v>
      </c>
      <c r="R7" s="23">
        <v>208600.4</v>
      </c>
      <c r="S7" s="23">
        <v>35125.599999999999</v>
      </c>
      <c r="T7" s="23">
        <f t="shared" si="6"/>
        <v>243726</v>
      </c>
      <c r="U7" s="23">
        <f t="shared" si="7"/>
        <v>3268242.19</v>
      </c>
      <c r="V7" s="16">
        <v>3024516.19</v>
      </c>
      <c r="W7" s="16">
        <v>0</v>
      </c>
      <c r="X7" s="16">
        <v>0</v>
      </c>
      <c r="Y7" s="16">
        <v>208600.4</v>
      </c>
      <c r="Z7" s="16">
        <f t="shared" si="8"/>
        <v>249214</v>
      </c>
      <c r="AA7" s="25">
        <f t="shared" si="0"/>
        <v>3233116.59</v>
      </c>
      <c r="AB7" s="25">
        <f t="shared" si="1"/>
        <v>9073548.5700000003</v>
      </c>
      <c r="AC7" s="26">
        <f t="shared" si="1"/>
        <v>0</v>
      </c>
      <c r="AD7" s="27">
        <f t="shared" si="1"/>
        <v>0</v>
      </c>
      <c r="AE7" s="25">
        <f t="shared" si="2"/>
        <v>693749.39999999991</v>
      </c>
      <c r="AF7" s="28">
        <v>40613.599999999999</v>
      </c>
      <c r="AG7" s="28">
        <f t="shared" si="9"/>
        <v>734362.99999999988</v>
      </c>
      <c r="AH7" s="26">
        <f t="shared" si="10"/>
        <v>9807911.5700000003</v>
      </c>
      <c r="AI7" s="27">
        <v>3024516.19</v>
      </c>
      <c r="AJ7" s="25">
        <v>0</v>
      </c>
      <c r="AK7" s="26">
        <v>0</v>
      </c>
      <c r="AL7" s="27">
        <v>208600.4</v>
      </c>
      <c r="AM7" s="25">
        <v>39153.599999999999</v>
      </c>
      <c r="AN7" s="28">
        <f t="shared" si="11"/>
        <v>247754</v>
      </c>
      <c r="AO7" s="26">
        <f t="shared" si="12"/>
        <v>3272270.19</v>
      </c>
      <c r="AP7" s="27">
        <v>3024516.19</v>
      </c>
      <c r="AQ7" s="25">
        <v>0</v>
      </c>
      <c r="AR7" s="26">
        <v>0</v>
      </c>
      <c r="AS7" s="27">
        <v>208600.4</v>
      </c>
      <c r="AT7" s="25">
        <v>26726.6</v>
      </c>
      <c r="AU7" s="25">
        <f t="shared" si="13"/>
        <v>235327</v>
      </c>
      <c r="AV7" s="25">
        <f t="shared" si="14"/>
        <v>3259843.19</v>
      </c>
      <c r="AW7" s="25">
        <v>3024516.19</v>
      </c>
      <c r="AX7" s="25">
        <v>0</v>
      </c>
      <c r="AY7" s="25">
        <v>0</v>
      </c>
      <c r="AZ7" s="25">
        <v>208600.4</v>
      </c>
      <c r="BA7" s="25">
        <v>25292.6</v>
      </c>
      <c r="BB7" s="25">
        <f t="shared" si="15"/>
        <v>233893</v>
      </c>
      <c r="BC7" s="25">
        <f t="shared" si="16"/>
        <v>3258409.19</v>
      </c>
      <c r="BD7" s="25">
        <v>3112203.85</v>
      </c>
      <c r="BE7" s="25">
        <v>0</v>
      </c>
      <c r="BF7" s="25">
        <v>0</v>
      </c>
      <c r="BG7" s="25">
        <v>208600.4</v>
      </c>
      <c r="BH7" s="25">
        <f t="shared" si="17"/>
        <v>3320804.25</v>
      </c>
      <c r="BI7" s="29">
        <v>3112203.85</v>
      </c>
      <c r="BJ7" s="29">
        <v>0</v>
      </c>
      <c r="BK7" s="29">
        <v>0</v>
      </c>
      <c r="BL7" s="29">
        <v>208600.4</v>
      </c>
      <c r="BM7" s="29">
        <f t="shared" si="18"/>
        <v>3320804.25</v>
      </c>
      <c r="BN7" s="30">
        <f t="shared" si="19"/>
        <v>26269302.779999997</v>
      </c>
    </row>
    <row r="8" spans="1:66" ht="45">
      <c r="A8" s="19">
        <v>19</v>
      </c>
      <c r="B8" s="19" t="s">
        <v>74</v>
      </c>
      <c r="C8" s="19" t="s">
        <v>75</v>
      </c>
      <c r="D8" s="20" t="s">
        <v>76</v>
      </c>
      <c r="E8" s="21">
        <v>4967072</v>
      </c>
      <c r="F8" s="22">
        <v>0</v>
      </c>
      <c r="G8" s="23">
        <v>1048285.78</v>
      </c>
      <c r="H8" s="23">
        <v>0</v>
      </c>
      <c r="I8" s="23">
        <v>0</v>
      </c>
      <c r="J8" s="23">
        <v>42560.2</v>
      </c>
      <c r="K8" s="24">
        <v>0</v>
      </c>
      <c r="L8" s="24">
        <f t="shared" si="3"/>
        <v>42560.2</v>
      </c>
      <c r="M8" s="24">
        <f t="shared" si="4"/>
        <v>42560.2</v>
      </c>
      <c r="N8" s="24">
        <f t="shared" si="5"/>
        <v>1090845.98</v>
      </c>
      <c r="O8" s="23">
        <v>1048285.78</v>
      </c>
      <c r="P8" s="23">
        <v>0</v>
      </c>
      <c r="Q8" s="23">
        <v>0</v>
      </c>
      <c r="R8" s="23">
        <v>42560.2</v>
      </c>
      <c r="S8" s="23">
        <v>0</v>
      </c>
      <c r="T8" s="23">
        <f t="shared" si="6"/>
        <v>42560.2</v>
      </c>
      <c r="U8" s="23">
        <f t="shared" si="7"/>
        <v>1090845.98</v>
      </c>
      <c r="V8" s="16">
        <v>1048285.78</v>
      </c>
      <c r="W8" s="16">
        <v>0</v>
      </c>
      <c r="X8" s="16">
        <v>0</v>
      </c>
      <c r="Y8" s="16">
        <v>42560.2</v>
      </c>
      <c r="Z8" s="16">
        <f t="shared" si="8"/>
        <v>42560.2</v>
      </c>
      <c r="AA8" s="25">
        <f t="shared" si="0"/>
        <v>1090845.98</v>
      </c>
      <c r="AB8" s="25">
        <f t="shared" si="1"/>
        <v>3144857.34</v>
      </c>
      <c r="AC8" s="26">
        <f t="shared" si="1"/>
        <v>0</v>
      </c>
      <c r="AD8" s="27">
        <f t="shared" si="1"/>
        <v>0</v>
      </c>
      <c r="AE8" s="25">
        <f t="shared" si="2"/>
        <v>127680.59999999999</v>
      </c>
      <c r="AF8" s="28">
        <v>0</v>
      </c>
      <c r="AG8" s="28">
        <f t="shared" si="9"/>
        <v>127680.59999999999</v>
      </c>
      <c r="AH8" s="26">
        <f t="shared" si="10"/>
        <v>3272537.94</v>
      </c>
      <c r="AI8" s="27">
        <v>1048285.78</v>
      </c>
      <c r="AJ8" s="25">
        <v>0</v>
      </c>
      <c r="AK8" s="26">
        <v>0</v>
      </c>
      <c r="AL8" s="27">
        <v>42560.2</v>
      </c>
      <c r="AM8" s="25">
        <v>0</v>
      </c>
      <c r="AN8" s="28">
        <f t="shared" si="11"/>
        <v>42560.2</v>
      </c>
      <c r="AO8" s="26">
        <f t="shared" si="12"/>
        <v>1090845.98</v>
      </c>
      <c r="AP8" s="27">
        <v>1048285.78</v>
      </c>
      <c r="AQ8" s="25">
        <v>0</v>
      </c>
      <c r="AR8" s="26">
        <v>0</v>
      </c>
      <c r="AS8" s="27">
        <v>42560.2</v>
      </c>
      <c r="AT8" s="25">
        <v>0</v>
      </c>
      <c r="AU8" s="25">
        <f t="shared" si="13"/>
        <v>42560.2</v>
      </c>
      <c r="AV8" s="25">
        <f t="shared" si="14"/>
        <v>1090845.98</v>
      </c>
      <c r="AW8" s="25">
        <v>1048285.78</v>
      </c>
      <c r="AX8" s="25">
        <v>0</v>
      </c>
      <c r="AY8" s="25">
        <v>0</v>
      </c>
      <c r="AZ8" s="25">
        <v>42560.2</v>
      </c>
      <c r="BA8" s="25">
        <v>0</v>
      </c>
      <c r="BB8" s="25">
        <f t="shared" si="15"/>
        <v>42560.2</v>
      </c>
      <c r="BC8" s="25">
        <f t="shared" si="16"/>
        <v>1090845.98</v>
      </c>
      <c r="BD8" s="25">
        <v>1162770.06</v>
      </c>
      <c r="BE8" s="25">
        <v>0</v>
      </c>
      <c r="BF8" s="25">
        <v>0</v>
      </c>
      <c r="BG8" s="25">
        <v>42560.2</v>
      </c>
      <c r="BH8" s="25">
        <f t="shared" si="17"/>
        <v>1205330.26</v>
      </c>
      <c r="BI8" s="29">
        <v>1162770.06</v>
      </c>
      <c r="BJ8" s="29">
        <v>0</v>
      </c>
      <c r="BK8" s="29">
        <v>0</v>
      </c>
      <c r="BL8" s="29">
        <v>42560.2</v>
      </c>
      <c r="BM8" s="29">
        <f t="shared" si="18"/>
        <v>1205330.26</v>
      </c>
      <c r="BN8" s="30">
        <f t="shared" si="19"/>
        <v>8955736.4000000004</v>
      </c>
    </row>
    <row r="9" spans="1:66">
      <c r="A9" s="19">
        <v>30</v>
      </c>
      <c r="B9" s="19" t="s">
        <v>77</v>
      </c>
      <c r="C9" s="19" t="s">
        <v>78</v>
      </c>
      <c r="D9" s="20" t="s">
        <v>79</v>
      </c>
      <c r="E9" s="21">
        <v>4532388</v>
      </c>
      <c r="F9" s="22">
        <v>0</v>
      </c>
      <c r="G9" s="23">
        <v>2082176.01</v>
      </c>
      <c r="H9" s="23">
        <v>944547.02999999991</v>
      </c>
      <c r="I9" s="23">
        <v>0</v>
      </c>
      <c r="J9" s="23">
        <v>489290.85000000003</v>
      </c>
      <c r="K9" s="24">
        <v>41026.15</v>
      </c>
      <c r="L9" s="24">
        <f t="shared" si="3"/>
        <v>530317</v>
      </c>
      <c r="M9" s="24">
        <f t="shared" si="4"/>
        <v>530317</v>
      </c>
      <c r="N9" s="24">
        <f t="shared" si="5"/>
        <v>3557040.04</v>
      </c>
      <c r="O9" s="23">
        <f>2082176.01+121410.71-49465.71</f>
        <v>2154121.0100000002</v>
      </c>
      <c r="P9" s="23">
        <f>944547.03-54335.44</f>
        <v>890211.59000000008</v>
      </c>
      <c r="Q9" s="23">
        <v>0</v>
      </c>
      <c r="R9" s="23">
        <v>489290.85000000003</v>
      </c>
      <c r="S9" s="23">
        <f>48930.15</f>
        <v>48930.15</v>
      </c>
      <c r="T9" s="23">
        <f t="shared" si="6"/>
        <v>538221</v>
      </c>
      <c r="U9" s="23">
        <f t="shared" si="7"/>
        <v>3582553.6000000006</v>
      </c>
      <c r="V9" s="16">
        <f>2082176.01+121410.71</f>
        <v>2203586.7200000002</v>
      </c>
      <c r="W9" s="16">
        <v>944547.02999999991</v>
      </c>
      <c r="X9" s="16">
        <v>0</v>
      </c>
      <c r="Y9" s="16">
        <f>489290.85+49465.71+54335.44</f>
        <v>593092</v>
      </c>
      <c r="Z9" s="16">
        <f t="shared" si="8"/>
        <v>593092</v>
      </c>
      <c r="AA9" s="25">
        <f t="shared" si="0"/>
        <v>3741225.75</v>
      </c>
      <c r="AB9" s="25">
        <f t="shared" si="1"/>
        <v>6439883.7400000002</v>
      </c>
      <c r="AC9" s="26">
        <f t="shared" si="1"/>
        <v>2779305.65</v>
      </c>
      <c r="AD9" s="27">
        <f t="shared" si="1"/>
        <v>0</v>
      </c>
      <c r="AE9" s="25">
        <f t="shared" si="2"/>
        <v>1661630</v>
      </c>
      <c r="AF9" s="28">
        <v>0</v>
      </c>
      <c r="AG9" s="28">
        <f t="shared" si="9"/>
        <v>1661630</v>
      </c>
      <c r="AH9" s="26">
        <f t="shared" si="10"/>
        <v>10880819.390000001</v>
      </c>
      <c r="AI9" s="27">
        <f>2082176.01+121410.71</f>
        <v>2203586.7200000002</v>
      </c>
      <c r="AJ9" s="25">
        <v>944547.02999999991</v>
      </c>
      <c r="AK9" s="26">
        <v>0</v>
      </c>
      <c r="AL9" s="27">
        <v>489290.85000000003</v>
      </c>
      <c r="AM9" s="25">
        <v>92605.15</v>
      </c>
      <c r="AN9" s="28">
        <f t="shared" si="11"/>
        <v>581896</v>
      </c>
      <c r="AO9" s="26">
        <f t="shared" si="12"/>
        <v>3730029.75</v>
      </c>
      <c r="AP9" s="27">
        <f>2082176.01+111645.14</f>
        <v>2193821.15</v>
      </c>
      <c r="AQ9" s="25">
        <v>944547.02999999991</v>
      </c>
      <c r="AR9" s="26">
        <v>0</v>
      </c>
      <c r="AS9" s="27">
        <v>489290.85000000003</v>
      </c>
      <c r="AT9" s="25">
        <v>0</v>
      </c>
      <c r="AU9" s="25">
        <f t="shared" si="13"/>
        <v>489290.85000000003</v>
      </c>
      <c r="AV9" s="25">
        <f t="shared" si="14"/>
        <v>3627659.03</v>
      </c>
      <c r="AW9" s="25">
        <v>2082176.01</v>
      </c>
      <c r="AX9" s="25">
        <v>944547.03</v>
      </c>
      <c r="AY9" s="25">
        <v>0</v>
      </c>
      <c r="AZ9" s="25">
        <v>489290.85</v>
      </c>
      <c r="BA9" s="25">
        <v>0</v>
      </c>
      <c r="BB9" s="25">
        <f t="shared" si="15"/>
        <v>489290.85</v>
      </c>
      <c r="BC9" s="25">
        <f t="shared" si="16"/>
        <v>3516013.89</v>
      </c>
      <c r="BD9" s="25">
        <v>2018416.15</v>
      </c>
      <c r="BE9" s="25">
        <v>944547.03</v>
      </c>
      <c r="BF9" s="25">
        <v>0</v>
      </c>
      <c r="BG9" s="25">
        <v>489290.85</v>
      </c>
      <c r="BH9" s="25">
        <f t="shared" si="17"/>
        <v>3452254.03</v>
      </c>
      <c r="BI9" s="29">
        <v>2018416.15</v>
      </c>
      <c r="BJ9" s="29">
        <v>944547.03</v>
      </c>
      <c r="BK9" s="29">
        <v>0</v>
      </c>
      <c r="BL9" s="29">
        <v>489290.85</v>
      </c>
      <c r="BM9" s="29">
        <f t="shared" si="18"/>
        <v>3452254.03</v>
      </c>
      <c r="BN9" s="30">
        <f t="shared" si="19"/>
        <v>28659030.120000005</v>
      </c>
    </row>
    <row r="10" spans="1:66" ht="30">
      <c r="A10" s="19">
        <v>36</v>
      </c>
      <c r="B10" s="19" t="s">
        <v>80</v>
      </c>
      <c r="C10" s="19" t="s">
        <v>81</v>
      </c>
      <c r="D10" s="31" t="s">
        <v>82</v>
      </c>
      <c r="E10" s="21">
        <v>4505421</v>
      </c>
      <c r="F10" s="22">
        <v>14398.07</v>
      </c>
      <c r="G10" s="23">
        <v>1031913.84</v>
      </c>
      <c r="H10" s="23">
        <v>0</v>
      </c>
      <c r="I10" s="23">
        <v>0</v>
      </c>
      <c r="J10" s="23">
        <v>307888.35000000003</v>
      </c>
      <c r="K10" s="24">
        <v>0</v>
      </c>
      <c r="L10" s="24">
        <f t="shared" si="3"/>
        <v>307888.35000000003</v>
      </c>
      <c r="M10" s="24">
        <f t="shared" si="4"/>
        <v>307888.35000000003</v>
      </c>
      <c r="N10" s="24">
        <f t="shared" si="5"/>
        <v>1339802.19</v>
      </c>
      <c r="O10" s="23">
        <v>1031913.84</v>
      </c>
      <c r="P10" s="23">
        <v>0</v>
      </c>
      <c r="Q10" s="23">
        <v>0</v>
      </c>
      <c r="R10" s="23">
        <v>307888.35000000003</v>
      </c>
      <c r="S10" s="23">
        <v>36412.65</v>
      </c>
      <c r="T10" s="23">
        <f t="shared" si="6"/>
        <v>344301.00000000006</v>
      </c>
      <c r="U10" s="23">
        <f t="shared" si="7"/>
        <v>1376214.8399999999</v>
      </c>
      <c r="V10" s="16">
        <v>1031913.84</v>
      </c>
      <c r="W10" s="16">
        <v>0</v>
      </c>
      <c r="X10" s="16">
        <v>0</v>
      </c>
      <c r="Y10" s="16">
        <v>307888.35000000003</v>
      </c>
      <c r="Z10" s="16">
        <f t="shared" si="8"/>
        <v>307888.35000000003</v>
      </c>
      <c r="AA10" s="25">
        <f t="shared" si="0"/>
        <v>1339802.19</v>
      </c>
      <c r="AB10" s="25">
        <f t="shared" si="1"/>
        <v>3095741.52</v>
      </c>
      <c r="AC10" s="32">
        <f t="shared" si="1"/>
        <v>0</v>
      </c>
      <c r="AD10" s="27">
        <f t="shared" si="1"/>
        <v>0</v>
      </c>
      <c r="AE10" s="25">
        <f t="shared" si="2"/>
        <v>960077.70000000007</v>
      </c>
      <c r="AF10" s="25">
        <v>0</v>
      </c>
      <c r="AG10" s="28">
        <f t="shared" si="9"/>
        <v>960077.70000000007</v>
      </c>
      <c r="AH10" s="26">
        <f t="shared" si="10"/>
        <v>4055819.22</v>
      </c>
      <c r="AI10" s="27">
        <v>1031913.84</v>
      </c>
      <c r="AJ10" s="25">
        <v>0</v>
      </c>
      <c r="AK10" s="32">
        <v>0</v>
      </c>
      <c r="AL10" s="27">
        <v>307888.35000000003</v>
      </c>
      <c r="AM10" s="25">
        <v>0</v>
      </c>
      <c r="AN10" s="28">
        <f t="shared" si="11"/>
        <v>307888.35000000003</v>
      </c>
      <c r="AO10" s="32">
        <f t="shared" si="12"/>
        <v>1339802.19</v>
      </c>
      <c r="AP10" s="27">
        <v>1031913.84</v>
      </c>
      <c r="AQ10" s="25">
        <v>0</v>
      </c>
      <c r="AR10" s="32">
        <v>0</v>
      </c>
      <c r="AS10" s="27">
        <v>307888.35000000003</v>
      </c>
      <c r="AT10" s="25">
        <v>0</v>
      </c>
      <c r="AU10" s="25">
        <f t="shared" si="13"/>
        <v>307888.35000000003</v>
      </c>
      <c r="AV10" s="25">
        <f t="shared" si="14"/>
        <v>1339802.19</v>
      </c>
      <c r="AW10" s="25">
        <v>1031913.84</v>
      </c>
      <c r="AX10" s="25">
        <v>0</v>
      </c>
      <c r="AY10" s="25">
        <v>0</v>
      </c>
      <c r="AZ10" s="25">
        <v>307888.34999999998</v>
      </c>
      <c r="BA10" s="25">
        <v>0</v>
      </c>
      <c r="BB10" s="25">
        <f t="shared" si="15"/>
        <v>307888.34999999998</v>
      </c>
      <c r="BC10" s="25">
        <f t="shared" si="16"/>
        <v>1339802.19</v>
      </c>
      <c r="BD10" s="25">
        <v>1067225.93</v>
      </c>
      <c r="BE10" s="25">
        <v>0</v>
      </c>
      <c r="BF10" s="25">
        <v>0</v>
      </c>
      <c r="BG10" s="25">
        <v>307888.34999999998</v>
      </c>
      <c r="BH10" s="25">
        <f t="shared" si="17"/>
        <v>1375114.2799999998</v>
      </c>
      <c r="BI10" s="29">
        <v>1067225.93</v>
      </c>
      <c r="BJ10" s="29">
        <v>0</v>
      </c>
      <c r="BK10" s="29">
        <v>0</v>
      </c>
      <c r="BL10" s="29">
        <v>307888.34999999998</v>
      </c>
      <c r="BM10" s="29">
        <f t="shared" si="18"/>
        <v>1375114.2799999998</v>
      </c>
      <c r="BN10" s="30">
        <f t="shared" si="19"/>
        <v>10839852.419999998</v>
      </c>
    </row>
    <row r="11" spans="1:66" ht="30">
      <c r="A11" s="19">
        <v>10</v>
      </c>
      <c r="B11" s="19" t="s">
        <v>83</v>
      </c>
      <c r="C11" s="19" t="s">
        <v>84</v>
      </c>
      <c r="D11" s="31" t="s">
        <v>85</v>
      </c>
      <c r="E11" s="21">
        <v>4283333</v>
      </c>
      <c r="F11" s="22">
        <v>44731.87</v>
      </c>
      <c r="G11" s="23">
        <v>0</v>
      </c>
      <c r="H11" s="23">
        <v>3066283.19</v>
      </c>
      <c r="I11" s="23">
        <v>0</v>
      </c>
      <c r="J11" s="23">
        <v>38952.31</v>
      </c>
      <c r="K11" s="24">
        <v>20136.689999999999</v>
      </c>
      <c r="L11" s="24">
        <f t="shared" si="3"/>
        <v>59089</v>
      </c>
      <c r="M11" s="24">
        <f t="shared" si="4"/>
        <v>59089</v>
      </c>
      <c r="N11" s="24">
        <f t="shared" si="5"/>
        <v>3125372.19</v>
      </c>
      <c r="O11" s="23">
        <v>0</v>
      </c>
      <c r="P11" s="23">
        <v>3066283.19</v>
      </c>
      <c r="Q11" s="23">
        <v>0</v>
      </c>
      <c r="R11" s="23">
        <v>38952.31</v>
      </c>
      <c r="S11" s="23">
        <v>20789.689999999999</v>
      </c>
      <c r="T11" s="23">
        <f t="shared" si="6"/>
        <v>59742</v>
      </c>
      <c r="U11" s="23">
        <f t="shared" si="7"/>
        <v>3126025.19</v>
      </c>
      <c r="V11" s="16">
        <v>0</v>
      </c>
      <c r="W11" s="16">
        <v>3066283.19</v>
      </c>
      <c r="X11" s="16">
        <v>0</v>
      </c>
      <c r="Y11" s="16">
        <v>38952.31</v>
      </c>
      <c r="Z11" s="16">
        <f t="shared" si="8"/>
        <v>78404</v>
      </c>
      <c r="AA11" s="25">
        <f t="shared" si="0"/>
        <v>3105235.5</v>
      </c>
      <c r="AB11" s="25">
        <f t="shared" si="1"/>
        <v>0</v>
      </c>
      <c r="AC11" s="32">
        <f t="shared" si="1"/>
        <v>9198849.5700000003</v>
      </c>
      <c r="AD11" s="27">
        <f t="shared" si="1"/>
        <v>0</v>
      </c>
      <c r="AE11" s="25">
        <f t="shared" si="2"/>
        <v>157783.31</v>
      </c>
      <c r="AF11" s="25">
        <v>39451.69</v>
      </c>
      <c r="AG11" s="28">
        <f t="shared" si="9"/>
        <v>197235</v>
      </c>
      <c r="AH11" s="26">
        <f t="shared" si="10"/>
        <v>9396084.5700000003</v>
      </c>
      <c r="AI11" s="27">
        <v>0</v>
      </c>
      <c r="AJ11" s="25">
        <v>3066283.19</v>
      </c>
      <c r="AK11" s="32">
        <v>0</v>
      </c>
      <c r="AL11" s="27">
        <v>38952.31</v>
      </c>
      <c r="AM11" s="25">
        <v>38858.69</v>
      </c>
      <c r="AN11" s="28">
        <f t="shared" si="11"/>
        <v>77811</v>
      </c>
      <c r="AO11" s="32">
        <f t="shared" si="12"/>
        <v>3144094.19</v>
      </c>
      <c r="AP11" s="27">
        <v>0</v>
      </c>
      <c r="AQ11" s="25">
        <v>3066283.19</v>
      </c>
      <c r="AR11" s="32">
        <v>0</v>
      </c>
      <c r="AS11" s="27">
        <v>38952.31</v>
      </c>
      <c r="AT11" s="25">
        <v>25540.69</v>
      </c>
      <c r="AU11" s="25">
        <f t="shared" si="13"/>
        <v>64493</v>
      </c>
      <c r="AV11" s="25">
        <f t="shared" si="14"/>
        <v>3130776.19</v>
      </c>
      <c r="AW11" s="25">
        <v>0</v>
      </c>
      <c r="AX11" s="25">
        <v>3066283.19</v>
      </c>
      <c r="AY11" s="25">
        <v>0</v>
      </c>
      <c r="AZ11" s="25">
        <v>38952.31</v>
      </c>
      <c r="BA11" s="25">
        <v>20421.689999999999</v>
      </c>
      <c r="BB11" s="25">
        <f t="shared" si="15"/>
        <v>59374</v>
      </c>
      <c r="BC11" s="25">
        <f t="shared" si="16"/>
        <v>3125657.19</v>
      </c>
      <c r="BD11" s="25">
        <v>0</v>
      </c>
      <c r="BE11" s="25">
        <v>3066283.19</v>
      </c>
      <c r="BF11" s="25">
        <v>0</v>
      </c>
      <c r="BG11" s="25">
        <v>38952.31</v>
      </c>
      <c r="BH11" s="25">
        <f t="shared" si="17"/>
        <v>3105235.5</v>
      </c>
      <c r="BI11" s="29">
        <v>0</v>
      </c>
      <c r="BJ11" s="29">
        <v>3066283.19</v>
      </c>
      <c r="BK11" s="29">
        <v>0</v>
      </c>
      <c r="BL11" s="29">
        <v>38952.31</v>
      </c>
      <c r="BM11" s="29">
        <f t="shared" si="18"/>
        <v>3105235.5</v>
      </c>
      <c r="BN11" s="30">
        <f t="shared" si="19"/>
        <v>25051815.009999998</v>
      </c>
    </row>
    <row r="12" spans="1:66" ht="30">
      <c r="A12" s="19">
        <v>27</v>
      </c>
      <c r="B12" s="19" t="s">
        <v>86</v>
      </c>
      <c r="C12" s="19" t="s">
        <v>87</v>
      </c>
      <c r="D12" s="31" t="s">
        <v>88</v>
      </c>
      <c r="E12" s="21">
        <v>4505367</v>
      </c>
      <c r="F12" s="22">
        <v>0</v>
      </c>
      <c r="G12" s="23">
        <f>4816869.81-78947</f>
        <v>4737922.8099999996</v>
      </c>
      <c r="H12" s="23">
        <v>0</v>
      </c>
      <c r="I12" s="23">
        <v>0</v>
      </c>
      <c r="J12" s="23">
        <v>707008</v>
      </c>
      <c r="K12" s="24">
        <v>0</v>
      </c>
      <c r="L12" s="24">
        <f t="shared" si="3"/>
        <v>707008</v>
      </c>
      <c r="M12" s="24">
        <f t="shared" si="4"/>
        <v>707008</v>
      </c>
      <c r="N12" s="24">
        <f t="shared" si="5"/>
        <v>5444930.8099999996</v>
      </c>
      <c r="O12" s="23">
        <v>4816869.8099999996</v>
      </c>
      <c r="P12" s="23">
        <v>0</v>
      </c>
      <c r="Q12" s="23">
        <v>0</v>
      </c>
      <c r="R12" s="23">
        <v>707008</v>
      </c>
      <c r="S12" s="23">
        <v>92042</v>
      </c>
      <c r="T12" s="23">
        <f t="shared" si="6"/>
        <v>799050</v>
      </c>
      <c r="U12" s="23">
        <f t="shared" si="7"/>
        <v>5615919.8099999996</v>
      </c>
      <c r="V12" s="16">
        <v>4816869.8099999996</v>
      </c>
      <c r="W12" s="16">
        <v>0</v>
      </c>
      <c r="X12" s="16">
        <v>0</v>
      </c>
      <c r="Y12" s="16">
        <f>707008+78947</f>
        <v>785955</v>
      </c>
      <c r="Z12" s="16">
        <f t="shared" si="8"/>
        <v>785955</v>
      </c>
      <c r="AA12" s="25">
        <f t="shared" si="0"/>
        <v>5602824.8099999996</v>
      </c>
      <c r="AB12" s="25">
        <f t="shared" si="1"/>
        <v>14371662.43</v>
      </c>
      <c r="AC12" s="32">
        <f t="shared" si="1"/>
        <v>0</v>
      </c>
      <c r="AD12" s="27">
        <f t="shared" si="1"/>
        <v>0</v>
      </c>
      <c r="AE12" s="25">
        <f t="shared" si="2"/>
        <v>2292013</v>
      </c>
      <c r="AF12" s="25">
        <v>0</v>
      </c>
      <c r="AG12" s="28">
        <f t="shared" si="9"/>
        <v>2292013</v>
      </c>
      <c r="AH12" s="26">
        <f t="shared" si="10"/>
        <v>16663675.43</v>
      </c>
      <c r="AI12" s="27">
        <v>4816869.8099999996</v>
      </c>
      <c r="AJ12" s="25">
        <v>0</v>
      </c>
      <c r="AK12" s="32">
        <v>0</v>
      </c>
      <c r="AL12" s="27">
        <v>707008</v>
      </c>
      <c r="AM12" s="25">
        <v>179224</v>
      </c>
      <c r="AN12" s="28">
        <f t="shared" si="11"/>
        <v>886232</v>
      </c>
      <c r="AO12" s="32">
        <f t="shared" si="12"/>
        <v>5703101.8099999996</v>
      </c>
      <c r="AP12" s="27">
        <v>4816869.8099999996</v>
      </c>
      <c r="AQ12" s="25">
        <v>0</v>
      </c>
      <c r="AR12" s="32">
        <v>0</v>
      </c>
      <c r="AS12" s="27">
        <v>707008</v>
      </c>
      <c r="AT12" s="25">
        <v>95193</v>
      </c>
      <c r="AU12" s="25">
        <f t="shared" si="13"/>
        <v>802201</v>
      </c>
      <c r="AV12" s="25">
        <f t="shared" si="14"/>
        <v>5619070.8099999996</v>
      </c>
      <c r="AW12" s="25">
        <v>4816869.8099999996</v>
      </c>
      <c r="AX12" s="25">
        <v>0</v>
      </c>
      <c r="AY12" s="25">
        <v>0</v>
      </c>
      <c r="AZ12" s="25">
        <v>707008</v>
      </c>
      <c r="BA12" s="25">
        <v>38306</v>
      </c>
      <c r="BB12" s="25">
        <f t="shared" si="15"/>
        <v>745314</v>
      </c>
      <c r="BC12" s="25">
        <f t="shared" si="16"/>
        <v>5562183.8099999996</v>
      </c>
      <c r="BD12" s="25">
        <v>5427474.04</v>
      </c>
      <c r="BE12" s="25">
        <v>0</v>
      </c>
      <c r="BF12" s="25">
        <v>0</v>
      </c>
      <c r="BG12" s="25">
        <v>707008</v>
      </c>
      <c r="BH12" s="25">
        <f t="shared" si="17"/>
        <v>6134482.04</v>
      </c>
      <c r="BI12" s="29">
        <v>5427474.04</v>
      </c>
      <c r="BJ12" s="29">
        <v>0</v>
      </c>
      <c r="BK12" s="29">
        <v>0</v>
      </c>
      <c r="BL12" s="29">
        <v>707008</v>
      </c>
      <c r="BM12" s="29">
        <f t="shared" si="18"/>
        <v>6134482.04</v>
      </c>
      <c r="BN12" s="30">
        <f t="shared" si="19"/>
        <v>45816995.939999998</v>
      </c>
    </row>
    <row r="13" spans="1:66" ht="30">
      <c r="A13" s="19">
        <v>8</v>
      </c>
      <c r="B13" s="19" t="s">
        <v>89</v>
      </c>
      <c r="C13" s="19" t="s">
        <v>90</v>
      </c>
      <c r="D13" s="31" t="s">
        <v>91</v>
      </c>
      <c r="E13" s="21">
        <v>4203490</v>
      </c>
      <c r="F13" s="22">
        <v>0</v>
      </c>
      <c r="G13" s="23">
        <v>4465349.03</v>
      </c>
      <c r="H13" s="23">
        <v>472384.27</v>
      </c>
      <c r="I13" s="23">
        <v>0</v>
      </c>
      <c r="J13" s="23">
        <v>217943.4</v>
      </c>
      <c r="K13" s="24">
        <v>0</v>
      </c>
      <c r="L13" s="24">
        <f t="shared" si="3"/>
        <v>217943.4</v>
      </c>
      <c r="M13" s="24">
        <f t="shared" si="4"/>
        <v>217943.4</v>
      </c>
      <c r="N13" s="24">
        <f t="shared" si="5"/>
        <v>5155676.7000000011</v>
      </c>
      <c r="O13" s="23">
        <v>4465349.03</v>
      </c>
      <c r="P13" s="23">
        <v>472384.27</v>
      </c>
      <c r="Q13" s="23">
        <v>0</v>
      </c>
      <c r="R13" s="23">
        <v>217943.4</v>
      </c>
      <c r="S13" s="23">
        <v>0</v>
      </c>
      <c r="T13" s="23">
        <f t="shared" si="6"/>
        <v>217943.4</v>
      </c>
      <c r="U13" s="23">
        <f t="shared" si="7"/>
        <v>5155676.7000000011</v>
      </c>
      <c r="V13" s="16">
        <v>4465349.03</v>
      </c>
      <c r="W13" s="16">
        <v>472384.27</v>
      </c>
      <c r="X13" s="16">
        <v>0</v>
      </c>
      <c r="Y13" s="16">
        <v>217943.4</v>
      </c>
      <c r="Z13" s="16">
        <f t="shared" si="8"/>
        <v>217943.4</v>
      </c>
      <c r="AA13" s="25">
        <f t="shared" si="0"/>
        <v>5155676.7000000011</v>
      </c>
      <c r="AB13" s="25">
        <f t="shared" si="1"/>
        <v>13396047.09</v>
      </c>
      <c r="AC13" s="32">
        <f t="shared" si="1"/>
        <v>1417152.81</v>
      </c>
      <c r="AD13" s="27">
        <f t="shared" si="1"/>
        <v>0</v>
      </c>
      <c r="AE13" s="25">
        <f t="shared" si="2"/>
        <v>653830.19999999995</v>
      </c>
      <c r="AF13" s="25">
        <v>0</v>
      </c>
      <c r="AG13" s="28">
        <f t="shared" si="9"/>
        <v>653830.19999999995</v>
      </c>
      <c r="AH13" s="26">
        <f t="shared" si="10"/>
        <v>15467030.1</v>
      </c>
      <c r="AI13" s="27">
        <v>4465349.03</v>
      </c>
      <c r="AJ13" s="25">
        <v>472384.27</v>
      </c>
      <c r="AK13" s="32">
        <v>0</v>
      </c>
      <c r="AL13" s="27">
        <v>217943.4</v>
      </c>
      <c r="AM13" s="25">
        <v>0</v>
      </c>
      <c r="AN13" s="28">
        <f t="shared" si="11"/>
        <v>217943.4</v>
      </c>
      <c r="AO13" s="32">
        <f t="shared" si="12"/>
        <v>5155676.7000000011</v>
      </c>
      <c r="AP13" s="27">
        <v>4465349.03</v>
      </c>
      <c r="AQ13" s="25">
        <v>472384.27</v>
      </c>
      <c r="AR13" s="32">
        <v>0</v>
      </c>
      <c r="AS13" s="27">
        <v>217943.4</v>
      </c>
      <c r="AT13" s="25">
        <v>0</v>
      </c>
      <c r="AU13" s="25">
        <f t="shared" si="13"/>
        <v>217943.4</v>
      </c>
      <c r="AV13" s="25">
        <f t="shared" si="14"/>
        <v>5155676.7000000011</v>
      </c>
      <c r="AW13" s="25">
        <v>4465349.03</v>
      </c>
      <c r="AX13" s="25">
        <v>472384.27</v>
      </c>
      <c r="AY13" s="25">
        <v>0</v>
      </c>
      <c r="AZ13" s="25">
        <v>217943.4</v>
      </c>
      <c r="BA13" s="25">
        <v>0</v>
      </c>
      <c r="BB13" s="25">
        <f t="shared" si="15"/>
        <v>217943.4</v>
      </c>
      <c r="BC13" s="25">
        <f t="shared" si="16"/>
        <v>5155676.7000000011</v>
      </c>
      <c r="BD13" s="25">
        <v>4716212.45</v>
      </c>
      <c r="BE13" s="25">
        <v>413712.34</v>
      </c>
      <c r="BF13" s="25">
        <v>0</v>
      </c>
      <c r="BG13" s="25">
        <v>217943.4</v>
      </c>
      <c r="BH13" s="25">
        <f t="shared" si="17"/>
        <v>5347868.1900000004</v>
      </c>
      <c r="BI13" s="29">
        <v>4716212.45</v>
      </c>
      <c r="BJ13" s="29">
        <v>413712.34</v>
      </c>
      <c r="BK13" s="29">
        <v>0</v>
      </c>
      <c r="BL13" s="29">
        <v>217943.4</v>
      </c>
      <c r="BM13" s="29">
        <f t="shared" si="18"/>
        <v>5347868.1900000004</v>
      </c>
      <c r="BN13" s="30">
        <f t="shared" si="19"/>
        <v>41629796.580000006</v>
      </c>
    </row>
    <row r="14" spans="1:66" ht="30">
      <c r="A14" s="19">
        <v>9</v>
      </c>
      <c r="B14" s="19" t="s">
        <v>92</v>
      </c>
      <c r="C14" s="19" t="s">
        <v>93</v>
      </c>
      <c r="D14" s="20" t="s">
        <v>94</v>
      </c>
      <c r="E14" s="21">
        <v>4203881</v>
      </c>
      <c r="F14" s="22">
        <v>0</v>
      </c>
      <c r="G14" s="23">
        <v>5562025.4400000004</v>
      </c>
      <c r="H14" s="23">
        <v>301788.03999999998</v>
      </c>
      <c r="I14" s="23">
        <v>0</v>
      </c>
      <c r="J14" s="23">
        <v>428459</v>
      </c>
      <c r="K14" s="24">
        <v>0</v>
      </c>
      <c r="L14" s="24">
        <f t="shared" si="3"/>
        <v>428459</v>
      </c>
      <c r="M14" s="24">
        <f t="shared" si="4"/>
        <v>428459</v>
      </c>
      <c r="N14" s="24">
        <f t="shared" si="5"/>
        <v>6292272.4800000004</v>
      </c>
      <c r="O14" s="23">
        <f>5562025.44+378980.59</f>
        <v>5941006.0300000003</v>
      </c>
      <c r="P14" s="23">
        <v>301788.03999999998</v>
      </c>
      <c r="Q14" s="23">
        <v>0</v>
      </c>
      <c r="R14" s="23">
        <v>428459</v>
      </c>
      <c r="S14" s="23">
        <v>63893</v>
      </c>
      <c r="T14" s="23">
        <f t="shared" si="6"/>
        <v>492352</v>
      </c>
      <c r="U14" s="23">
        <f t="shared" si="7"/>
        <v>6735146.0700000003</v>
      </c>
      <c r="V14" s="16">
        <f>5562025.44+378980.59</f>
        <v>5941006.0300000003</v>
      </c>
      <c r="W14" s="16">
        <v>301788.03999999998</v>
      </c>
      <c r="X14" s="16">
        <v>0</v>
      </c>
      <c r="Y14" s="16">
        <v>428459</v>
      </c>
      <c r="Z14" s="16">
        <f t="shared" si="8"/>
        <v>462613</v>
      </c>
      <c r="AA14" s="25">
        <f t="shared" si="0"/>
        <v>6671253.0700000003</v>
      </c>
      <c r="AB14" s="25">
        <f t="shared" si="1"/>
        <v>17444037.5</v>
      </c>
      <c r="AC14" s="26">
        <f t="shared" si="1"/>
        <v>905364.11999999988</v>
      </c>
      <c r="AD14" s="27">
        <f t="shared" si="1"/>
        <v>0</v>
      </c>
      <c r="AE14" s="25">
        <f t="shared" si="2"/>
        <v>1349270</v>
      </c>
      <c r="AF14" s="28">
        <v>34154</v>
      </c>
      <c r="AG14" s="28">
        <f t="shared" si="9"/>
        <v>1383424</v>
      </c>
      <c r="AH14" s="26">
        <f t="shared" si="10"/>
        <v>19732825.620000001</v>
      </c>
      <c r="AI14" s="27">
        <f>5562025.44+615120.93</f>
        <v>6177146.3700000001</v>
      </c>
      <c r="AJ14" s="25">
        <v>301788.03999999998</v>
      </c>
      <c r="AK14" s="26">
        <v>0</v>
      </c>
      <c r="AL14" s="27">
        <v>428459</v>
      </c>
      <c r="AM14" s="25">
        <v>1011</v>
      </c>
      <c r="AN14" s="28">
        <f t="shared" si="11"/>
        <v>429470</v>
      </c>
      <c r="AO14" s="26">
        <f t="shared" si="12"/>
        <v>6908404.4100000001</v>
      </c>
      <c r="AP14" s="27">
        <f>5562025.44+615120.93</f>
        <v>6177146.3700000001</v>
      </c>
      <c r="AQ14" s="25">
        <v>301788.03999999998</v>
      </c>
      <c r="AR14" s="26">
        <v>0</v>
      </c>
      <c r="AS14" s="27">
        <v>428459</v>
      </c>
      <c r="AT14" s="25">
        <v>19642</v>
      </c>
      <c r="AU14" s="25">
        <f t="shared" si="13"/>
        <v>448101</v>
      </c>
      <c r="AV14" s="25">
        <f t="shared" si="14"/>
        <v>6927035.4100000001</v>
      </c>
      <c r="AW14" s="25">
        <v>5562025.4400000004</v>
      </c>
      <c r="AX14" s="25">
        <v>301788.03999999998</v>
      </c>
      <c r="AY14" s="25">
        <v>0</v>
      </c>
      <c r="AZ14" s="25">
        <v>428459</v>
      </c>
      <c r="BA14" s="25">
        <v>0</v>
      </c>
      <c r="BB14" s="25">
        <f t="shared" si="15"/>
        <v>428459</v>
      </c>
      <c r="BC14" s="25">
        <f t="shared" si="16"/>
        <v>6292272.4800000004</v>
      </c>
      <c r="BD14" s="25">
        <v>6163519.1799999997</v>
      </c>
      <c r="BE14" s="25">
        <v>301803.86</v>
      </c>
      <c r="BF14" s="25">
        <v>0</v>
      </c>
      <c r="BG14" s="25">
        <v>428459</v>
      </c>
      <c r="BH14" s="25">
        <f t="shared" si="17"/>
        <v>6893782.04</v>
      </c>
      <c r="BI14" s="29">
        <v>6163519.1799999997</v>
      </c>
      <c r="BJ14" s="29">
        <v>301803.86</v>
      </c>
      <c r="BK14" s="29">
        <v>0</v>
      </c>
      <c r="BL14" s="29">
        <v>428459</v>
      </c>
      <c r="BM14" s="29">
        <f t="shared" si="18"/>
        <v>6893782.04</v>
      </c>
      <c r="BN14" s="30">
        <f t="shared" si="19"/>
        <v>53648102</v>
      </c>
    </row>
    <row r="15" spans="1:66">
      <c r="A15" s="19">
        <v>28</v>
      </c>
      <c r="B15" s="33" t="s">
        <v>95</v>
      </c>
      <c r="C15" s="33" t="s">
        <v>96</v>
      </c>
      <c r="D15" s="31" t="s">
        <v>97</v>
      </c>
      <c r="E15" s="21">
        <v>4283759</v>
      </c>
      <c r="F15" s="22">
        <v>0</v>
      </c>
      <c r="G15" s="23">
        <f>2602428.85-78371.66</f>
        <v>2524057.19</v>
      </c>
      <c r="H15" s="23">
        <v>101042.22</v>
      </c>
      <c r="I15" s="23">
        <v>0</v>
      </c>
      <c r="J15" s="23">
        <v>470290.67</v>
      </c>
      <c r="K15" s="24">
        <v>0</v>
      </c>
      <c r="L15" s="24">
        <f t="shared" si="3"/>
        <v>470290.67</v>
      </c>
      <c r="M15" s="24">
        <f t="shared" si="4"/>
        <v>470290.67</v>
      </c>
      <c r="N15" s="24">
        <f t="shared" si="5"/>
        <v>3095390.08</v>
      </c>
      <c r="O15" s="23">
        <v>2602428.85</v>
      </c>
      <c r="P15" s="23">
        <v>101042.22</v>
      </c>
      <c r="Q15" s="23">
        <v>0</v>
      </c>
      <c r="R15" s="23">
        <v>470290.67</v>
      </c>
      <c r="S15" s="23">
        <v>85.33</v>
      </c>
      <c r="T15" s="23">
        <f t="shared" si="6"/>
        <v>470376</v>
      </c>
      <c r="U15" s="23">
        <f t="shared" si="7"/>
        <v>3173847.0700000003</v>
      </c>
      <c r="V15" s="16">
        <v>2602428.85</v>
      </c>
      <c r="W15" s="16">
        <v>101042.22</v>
      </c>
      <c r="X15" s="16">
        <v>0</v>
      </c>
      <c r="Y15" s="16">
        <f>470290.67+78371.66</f>
        <v>548662.32999999996</v>
      </c>
      <c r="Z15" s="16">
        <f t="shared" si="8"/>
        <v>548662.32999999996</v>
      </c>
      <c r="AA15" s="25">
        <f t="shared" si="0"/>
        <v>3252133.4000000004</v>
      </c>
      <c r="AB15" s="25">
        <f t="shared" si="1"/>
        <v>7728914.8900000006</v>
      </c>
      <c r="AC15" s="32">
        <f t="shared" si="1"/>
        <v>303126.66000000003</v>
      </c>
      <c r="AD15" s="27">
        <f t="shared" si="1"/>
        <v>0</v>
      </c>
      <c r="AE15" s="25">
        <f t="shared" si="2"/>
        <v>1489329</v>
      </c>
      <c r="AF15" s="25">
        <v>0</v>
      </c>
      <c r="AG15" s="28">
        <f t="shared" si="9"/>
        <v>1489329</v>
      </c>
      <c r="AH15" s="26">
        <f t="shared" si="10"/>
        <v>9521370.5500000007</v>
      </c>
      <c r="AI15" s="27">
        <v>2602428.85</v>
      </c>
      <c r="AJ15" s="25">
        <v>101042.22</v>
      </c>
      <c r="AK15" s="32">
        <v>0</v>
      </c>
      <c r="AL15" s="27">
        <v>470290.67</v>
      </c>
      <c r="AM15" s="25">
        <v>204049.33</v>
      </c>
      <c r="AN15" s="28">
        <f t="shared" si="11"/>
        <v>674340</v>
      </c>
      <c r="AO15" s="32">
        <f t="shared" si="12"/>
        <v>3377811.0700000003</v>
      </c>
      <c r="AP15" s="27">
        <v>2602428.85</v>
      </c>
      <c r="AQ15" s="25">
        <v>101042.22</v>
      </c>
      <c r="AR15" s="32">
        <v>0</v>
      </c>
      <c r="AS15" s="27">
        <v>470290.67</v>
      </c>
      <c r="AT15" s="25">
        <v>51110.33</v>
      </c>
      <c r="AU15" s="25">
        <f t="shared" si="13"/>
        <v>521401</v>
      </c>
      <c r="AV15" s="25">
        <f t="shared" si="14"/>
        <v>3224872.0700000003</v>
      </c>
      <c r="AW15" s="25">
        <v>2602428.85</v>
      </c>
      <c r="AX15" s="25">
        <v>101042.22</v>
      </c>
      <c r="AY15" s="25">
        <v>0</v>
      </c>
      <c r="AZ15" s="25">
        <v>470290.67</v>
      </c>
      <c r="BA15" s="25">
        <v>110293.33</v>
      </c>
      <c r="BB15" s="25">
        <f t="shared" si="15"/>
        <v>580584</v>
      </c>
      <c r="BC15" s="25">
        <f t="shared" si="16"/>
        <v>3284055.0700000003</v>
      </c>
      <c r="BD15" s="25">
        <v>2604730.86</v>
      </c>
      <c r="BE15" s="25">
        <v>101085.17</v>
      </c>
      <c r="BF15" s="25">
        <v>0</v>
      </c>
      <c r="BG15" s="25">
        <v>470290.67</v>
      </c>
      <c r="BH15" s="25">
        <f t="shared" si="17"/>
        <v>3176106.6999999997</v>
      </c>
      <c r="BI15" s="29">
        <v>2604730.86</v>
      </c>
      <c r="BJ15" s="29">
        <v>101085.17</v>
      </c>
      <c r="BK15" s="29">
        <v>0</v>
      </c>
      <c r="BL15" s="29">
        <v>470290.67</v>
      </c>
      <c r="BM15" s="29">
        <f t="shared" si="18"/>
        <v>3176106.6999999997</v>
      </c>
      <c r="BN15" s="30">
        <f t="shared" si="19"/>
        <v>25760322.16</v>
      </c>
    </row>
    <row r="16" spans="1:66" ht="30">
      <c r="A16" s="19">
        <v>29</v>
      </c>
      <c r="B16" s="33" t="s">
        <v>98</v>
      </c>
      <c r="C16" s="33" t="s">
        <v>99</v>
      </c>
      <c r="D16" s="31" t="s">
        <v>100</v>
      </c>
      <c r="E16" s="21">
        <v>4203938</v>
      </c>
      <c r="F16" s="22">
        <v>0</v>
      </c>
      <c r="G16" s="23">
        <v>1961093.28</v>
      </c>
      <c r="H16" s="23">
        <v>239540.7</v>
      </c>
      <c r="I16" s="23">
        <v>0</v>
      </c>
      <c r="J16" s="23">
        <v>369493.47</v>
      </c>
      <c r="K16" s="24">
        <v>5862.53</v>
      </c>
      <c r="L16" s="24">
        <f t="shared" si="3"/>
        <v>375356</v>
      </c>
      <c r="M16" s="24">
        <f t="shared" si="4"/>
        <v>375356</v>
      </c>
      <c r="N16" s="24">
        <f t="shared" si="5"/>
        <v>2575989.98</v>
      </c>
      <c r="O16" s="23">
        <v>1961093.28</v>
      </c>
      <c r="P16" s="23">
        <v>239540.7</v>
      </c>
      <c r="Q16" s="23">
        <v>0</v>
      </c>
      <c r="R16" s="23">
        <v>369493.47</v>
      </c>
      <c r="S16" s="23">
        <v>61118.53</v>
      </c>
      <c r="T16" s="23">
        <f t="shared" si="6"/>
        <v>430612</v>
      </c>
      <c r="U16" s="23">
        <f t="shared" si="7"/>
        <v>2631245.98</v>
      </c>
      <c r="V16" s="16">
        <f>1961093.28-129234.53</f>
        <v>1831858.75</v>
      </c>
      <c r="W16" s="16">
        <v>239540.7</v>
      </c>
      <c r="X16" s="16">
        <v>0</v>
      </c>
      <c r="Y16" s="16">
        <f>369493.47+129234.53</f>
        <v>498728</v>
      </c>
      <c r="Z16" s="16">
        <f t="shared" si="8"/>
        <v>498728</v>
      </c>
      <c r="AA16" s="25">
        <f t="shared" si="0"/>
        <v>2570127.4500000002</v>
      </c>
      <c r="AB16" s="25">
        <f t="shared" si="1"/>
        <v>5754045.3100000005</v>
      </c>
      <c r="AC16" s="32">
        <f t="shared" si="1"/>
        <v>718622.10000000009</v>
      </c>
      <c r="AD16" s="27">
        <f t="shared" si="1"/>
        <v>0</v>
      </c>
      <c r="AE16" s="25">
        <f t="shared" si="2"/>
        <v>1304696</v>
      </c>
      <c r="AF16" s="25">
        <v>0</v>
      </c>
      <c r="AG16" s="28">
        <f t="shared" si="9"/>
        <v>1304696</v>
      </c>
      <c r="AH16" s="26">
        <f t="shared" si="10"/>
        <v>7777363.4100000001</v>
      </c>
      <c r="AI16" s="27">
        <v>1961093.28</v>
      </c>
      <c r="AJ16" s="25">
        <v>239540.7</v>
      </c>
      <c r="AK16" s="32">
        <v>0</v>
      </c>
      <c r="AL16" s="27">
        <v>369493.47</v>
      </c>
      <c r="AM16" s="25">
        <v>103558.53</v>
      </c>
      <c r="AN16" s="28">
        <f t="shared" si="11"/>
        <v>473052</v>
      </c>
      <c r="AO16" s="32">
        <f t="shared" si="12"/>
        <v>2673685.98</v>
      </c>
      <c r="AP16" s="27">
        <v>1961093.28</v>
      </c>
      <c r="AQ16" s="25">
        <v>239540.7</v>
      </c>
      <c r="AR16" s="32">
        <v>0</v>
      </c>
      <c r="AS16" s="27">
        <v>369493.47</v>
      </c>
      <c r="AT16" s="25">
        <v>75295.53</v>
      </c>
      <c r="AU16" s="25">
        <f t="shared" si="13"/>
        <v>444789</v>
      </c>
      <c r="AV16" s="25">
        <f t="shared" si="14"/>
        <v>2645422.98</v>
      </c>
      <c r="AW16" s="25">
        <f>1961093.28-53023</f>
        <v>1908070.28</v>
      </c>
      <c r="AX16" s="25">
        <v>239540.7</v>
      </c>
      <c r="AY16" s="25">
        <v>0</v>
      </c>
      <c r="AZ16" s="25">
        <f>369493.47+53023</f>
        <v>422516.47</v>
      </c>
      <c r="BA16" s="25">
        <v>81568.53</v>
      </c>
      <c r="BB16" s="25">
        <f t="shared" si="15"/>
        <v>504085</v>
      </c>
      <c r="BC16" s="25">
        <f t="shared" si="16"/>
        <v>2651695.98</v>
      </c>
      <c r="BD16" s="25">
        <v>2292739.5299999998</v>
      </c>
      <c r="BE16" s="25">
        <v>239540.7</v>
      </c>
      <c r="BF16" s="25">
        <v>0</v>
      </c>
      <c r="BG16" s="25">
        <v>369493.47</v>
      </c>
      <c r="BH16" s="25">
        <f t="shared" si="17"/>
        <v>2901773.7</v>
      </c>
      <c r="BI16" s="29">
        <v>2292739.5299999998</v>
      </c>
      <c r="BJ16" s="29">
        <v>239603.11</v>
      </c>
      <c r="BK16" s="29">
        <v>0</v>
      </c>
      <c r="BL16" s="29">
        <v>369493.47</v>
      </c>
      <c r="BM16" s="29">
        <f t="shared" si="18"/>
        <v>2901836.1099999994</v>
      </c>
      <c r="BN16" s="30">
        <f t="shared" si="19"/>
        <v>21551778.16</v>
      </c>
    </row>
    <row r="17" spans="1:66" ht="45">
      <c r="A17" s="19">
        <v>32</v>
      </c>
      <c r="B17" s="19" t="s">
        <v>101</v>
      </c>
      <c r="C17" s="19" t="s">
        <v>102</v>
      </c>
      <c r="D17" s="31" t="s">
        <v>103</v>
      </c>
      <c r="E17" s="21">
        <v>4265990</v>
      </c>
      <c r="F17" s="22">
        <v>0</v>
      </c>
      <c r="G17" s="23">
        <v>1013747.45</v>
      </c>
      <c r="H17" s="23">
        <v>0</v>
      </c>
      <c r="I17" s="23">
        <v>0</v>
      </c>
      <c r="J17" s="23">
        <v>133911.51999999999</v>
      </c>
      <c r="K17" s="24">
        <v>26519.48</v>
      </c>
      <c r="L17" s="24">
        <f t="shared" si="3"/>
        <v>160431</v>
      </c>
      <c r="M17" s="24">
        <f t="shared" si="4"/>
        <v>160431</v>
      </c>
      <c r="N17" s="24">
        <f t="shared" si="5"/>
        <v>1174178.45</v>
      </c>
      <c r="O17" s="23">
        <v>1013747.45</v>
      </c>
      <c r="P17" s="23">
        <v>0</v>
      </c>
      <c r="Q17" s="23">
        <v>0</v>
      </c>
      <c r="R17" s="23">
        <v>133911.51999999999</v>
      </c>
      <c r="S17" s="23">
        <v>40940.480000000003</v>
      </c>
      <c r="T17" s="23">
        <f t="shared" si="6"/>
        <v>174852</v>
      </c>
      <c r="U17" s="23">
        <f t="shared" si="7"/>
        <v>1188599.45</v>
      </c>
      <c r="V17" s="16">
        <v>1013747.45</v>
      </c>
      <c r="W17" s="16">
        <v>0</v>
      </c>
      <c r="X17" s="16">
        <v>0</v>
      </c>
      <c r="Y17" s="16">
        <v>133911.51999999999</v>
      </c>
      <c r="Z17" s="16">
        <f t="shared" si="8"/>
        <v>159203</v>
      </c>
      <c r="AA17" s="25">
        <f t="shared" si="0"/>
        <v>1147658.97</v>
      </c>
      <c r="AB17" s="25">
        <f t="shared" si="1"/>
        <v>3041242.3499999996</v>
      </c>
      <c r="AC17" s="32">
        <f t="shared" si="1"/>
        <v>0</v>
      </c>
      <c r="AD17" s="27">
        <f t="shared" si="1"/>
        <v>0</v>
      </c>
      <c r="AE17" s="25">
        <f t="shared" si="2"/>
        <v>469194.5199999999</v>
      </c>
      <c r="AF17" s="25">
        <v>25291.48</v>
      </c>
      <c r="AG17" s="28">
        <f t="shared" si="9"/>
        <v>494485.99999999988</v>
      </c>
      <c r="AH17" s="26">
        <f t="shared" si="10"/>
        <v>3535728.3499999996</v>
      </c>
      <c r="AI17" s="27">
        <v>1013747.45</v>
      </c>
      <c r="AJ17" s="25">
        <v>0</v>
      </c>
      <c r="AK17" s="32">
        <v>0</v>
      </c>
      <c r="AL17" s="27">
        <v>133911.51999999999</v>
      </c>
      <c r="AM17" s="25">
        <v>57165.48</v>
      </c>
      <c r="AN17" s="28">
        <f t="shared" si="11"/>
        <v>191077</v>
      </c>
      <c r="AO17" s="32">
        <f t="shared" si="12"/>
        <v>1204824.45</v>
      </c>
      <c r="AP17" s="27">
        <v>1013747.45</v>
      </c>
      <c r="AQ17" s="25">
        <v>0</v>
      </c>
      <c r="AR17" s="32">
        <v>0</v>
      </c>
      <c r="AS17" s="27">
        <v>133911.51999999999</v>
      </c>
      <c r="AT17" s="25">
        <v>18784.48</v>
      </c>
      <c r="AU17" s="25">
        <f t="shared" si="13"/>
        <v>152696</v>
      </c>
      <c r="AV17" s="25">
        <f t="shared" si="14"/>
        <v>1166443.45</v>
      </c>
      <c r="AW17" s="25">
        <v>1013747.45</v>
      </c>
      <c r="AX17" s="25">
        <v>0</v>
      </c>
      <c r="AY17" s="25">
        <v>0</v>
      </c>
      <c r="AZ17" s="25">
        <v>133911.51999999999</v>
      </c>
      <c r="BA17" s="25">
        <v>28631.48</v>
      </c>
      <c r="BB17" s="25">
        <f t="shared" si="15"/>
        <v>162543</v>
      </c>
      <c r="BC17" s="25">
        <f t="shared" si="16"/>
        <v>1176290.45</v>
      </c>
      <c r="BD17" s="25">
        <v>1149730.95</v>
      </c>
      <c r="BE17" s="25">
        <v>0</v>
      </c>
      <c r="BF17" s="25">
        <v>0</v>
      </c>
      <c r="BG17" s="25">
        <v>133911.51999999999</v>
      </c>
      <c r="BH17" s="25">
        <f t="shared" si="17"/>
        <v>1283642.47</v>
      </c>
      <c r="BI17" s="29">
        <v>1149730.95</v>
      </c>
      <c r="BJ17" s="29">
        <v>0</v>
      </c>
      <c r="BK17" s="29">
        <v>0</v>
      </c>
      <c r="BL17" s="29">
        <v>133911.51999999999</v>
      </c>
      <c r="BM17" s="29">
        <f t="shared" si="18"/>
        <v>1283642.47</v>
      </c>
      <c r="BN17" s="30">
        <f t="shared" si="19"/>
        <v>9650571.6400000006</v>
      </c>
    </row>
    <row r="18" spans="1:66" ht="45">
      <c r="A18" s="19">
        <v>24</v>
      </c>
      <c r="B18" s="19" t="s">
        <v>104</v>
      </c>
      <c r="C18" s="19" t="s">
        <v>105</v>
      </c>
      <c r="D18" s="31" t="s">
        <v>106</v>
      </c>
      <c r="E18" s="21">
        <v>4203628</v>
      </c>
      <c r="F18" s="22">
        <v>0</v>
      </c>
      <c r="G18" s="23">
        <v>5058175.8</v>
      </c>
      <c r="H18" s="23">
        <v>0</v>
      </c>
      <c r="I18" s="23">
        <v>0</v>
      </c>
      <c r="J18" s="23">
        <v>440345.17</v>
      </c>
      <c r="K18" s="24">
        <v>0</v>
      </c>
      <c r="L18" s="24">
        <f t="shared" si="3"/>
        <v>440345.17</v>
      </c>
      <c r="M18" s="24">
        <f t="shared" si="4"/>
        <v>440345.17</v>
      </c>
      <c r="N18" s="24">
        <f t="shared" si="5"/>
        <v>5498520.9699999997</v>
      </c>
      <c r="O18" s="23">
        <v>5058175.8</v>
      </c>
      <c r="P18" s="23">
        <v>0</v>
      </c>
      <c r="Q18" s="23">
        <v>0</v>
      </c>
      <c r="R18" s="23">
        <v>440345.17</v>
      </c>
      <c r="S18" s="23">
        <v>99492.83</v>
      </c>
      <c r="T18" s="23">
        <f t="shared" si="6"/>
        <v>539838</v>
      </c>
      <c r="U18" s="23">
        <f t="shared" si="7"/>
        <v>5598013.7999999998</v>
      </c>
      <c r="V18" s="16">
        <f>5058175.8+1186485.69-101041.66</f>
        <v>6143619.8300000001</v>
      </c>
      <c r="W18" s="16">
        <v>0</v>
      </c>
      <c r="X18" s="16">
        <v>0</v>
      </c>
      <c r="Y18" s="16">
        <f>440345.17+101041.66</f>
        <v>541386.82999999996</v>
      </c>
      <c r="Z18" s="16">
        <f t="shared" si="8"/>
        <v>541386.82999999996</v>
      </c>
      <c r="AA18" s="25">
        <f t="shared" si="0"/>
        <v>6685006.6600000001</v>
      </c>
      <c r="AB18" s="25">
        <f t="shared" si="1"/>
        <v>16259971.43</v>
      </c>
      <c r="AC18" s="32">
        <f t="shared" si="1"/>
        <v>0</v>
      </c>
      <c r="AD18" s="27">
        <f t="shared" si="1"/>
        <v>0</v>
      </c>
      <c r="AE18" s="25">
        <f t="shared" si="2"/>
        <v>1521570</v>
      </c>
      <c r="AF18" s="25">
        <v>0</v>
      </c>
      <c r="AG18" s="28">
        <f t="shared" si="9"/>
        <v>1521570</v>
      </c>
      <c r="AH18" s="26">
        <f t="shared" si="10"/>
        <v>17781541.43</v>
      </c>
      <c r="AI18" s="27">
        <f>5058175.8+433172.68</f>
        <v>5491348.4799999995</v>
      </c>
      <c r="AJ18" s="25">
        <v>0</v>
      </c>
      <c r="AK18" s="32">
        <v>0</v>
      </c>
      <c r="AL18" s="27">
        <v>440345.17</v>
      </c>
      <c r="AM18" s="25">
        <v>180468.83</v>
      </c>
      <c r="AN18" s="28">
        <f t="shared" si="11"/>
        <v>620814</v>
      </c>
      <c r="AO18" s="32">
        <f t="shared" si="12"/>
        <v>6112162.4799999995</v>
      </c>
      <c r="AP18" s="27">
        <v>5058175.8</v>
      </c>
      <c r="AQ18" s="25">
        <v>0</v>
      </c>
      <c r="AR18" s="32">
        <v>0</v>
      </c>
      <c r="AS18" s="27">
        <v>440345.17</v>
      </c>
      <c r="AT18" s="25">
        <v>126225.83</v>
      </c>
      <c r="AU18" s="25">
        <f t="shared" si="13"/>
        <v>566571</v>
      </c>
      <c r="AV18" s="25">
        <f t="shared" si="14"/>
        <v>5624746.7999999998</v>
      </c>
      <c r="AW18" s="25">
        <v>5058175.8</v>
      </c>
      <c r="AX18" s="25">
        <v>0</v>
      </c>
      <c r="AY18" s="25">
        <v>0</v>
      </c>
      <c r="AZ18" s="25">
        <v>440345.17</v>
      </c>
      <c r="BA18" s="25">
        <v>97541.83</v>
      </c>
      <c r="BB18" s="25">
        <f t="shared" si="15"/>
        <v>537887</v>
      </c>
      <c r="BC18" s="25">
        <f t="shared" si="16"/>
        <v>5596062.7999999998</v>
      </c>
      <c r="BD18" s="25">
        <v>5298328.1100000003</v>
      </c>
      <c r="BE18" s="25">
        <v>0</v>
      </c>
      <c r="BF18" s="25">
        <v>0</v>
      </c>
      <c r="BG18" s="25">
        <v>440345.17</v>
      </c>
      <c r="BH18" s="25">
        <f t="shared" si="17"/>
        <v>5738673.2800000003</v>
      </c>
      <c r="BI18" s="29">
        <v>5298328.1100000003</v>
      </c>
      <c r="BJ18" s="29">
        <v>0</v>
      </c>
      <c r="BK18" s="29">
        <v>0</v>
      </c>
      <c r="BL18" s="29">
        <v>440345.17</v>
      </c>
      <c r="BM18" s="29">
        <f t="shared" si="18"/>
        <v>5738673.2800000003</v>
      </c>
      <c r="BN18" s="30">
        <f t="shared" si="19"/>
        <v>46591860.07</v>
      </c>
    </row>
    <row r="19" spans="1:66" ht="18.75" customHeight="1">
      <c r="A19" s="19">
        <v>6</v>
      </c>
      <c r="B19" s="19" t="s">
        <v>107</v>
      </c>
      <c r="C19" s="19" t="s">
        <v>108</v>
      </c>
      <c r="D19" s="31" t="s">
        <v>109</v>
      </c>
      <c r="E19" s="21">
        <v>4283929</v>
      </c>
      <c r="F19" s="22">
        <v>0</v>
      </c>
      <c r="G19" s="23">
        <f>14265193.01-89815.66</f>
        <v>14175377.35</v>
      </c>
      <c r="H19" s="23">
        <v>331021.61</v>
      </c>
      <c r="I19" s="23">
        <v>0</v>
      </c>
      <c r="J19" s="23">
        <v>2204732.17</v>
      </c>
      <c r="K19" s="24">
        <v>0</v>
      </c>
      <c r="L19" s="24">
        <f t="shared" si="3"/>
        <v>2204732.17</v>
      </c>
      <c r="M19" s="24">
        <f t="shared" si="4"/>
        <v>2204732.17</v>
      </c>
      <c r="N19" s="24">
        <f t="shared" si="5"/>
        <v>16711131.129999999</v>
      </c>
      <c r="O19" s="23">
        <v>14265193.01</v>
      </c>
      <c r="P19" s="23">
        <v>331021.61</v>
      </c>
      <c r="Q19" s="23">
        <v>0</v>
      </c>
      <c r="R19" s="23">
        <v>2204732.17</v>
      </c>
      <c r="S19" s="23">
        <v>77006.83</v>
      </c>
      <c r="T19" s="23">
        <f t="shared" si="6"/>
        <v>2281739</v>
      </c>
      <c r="U19" s="23">
        <f t="shared" si="7"/>
        <v>16877953.619999997</v>
      </c>
      <c r="V19" s="16">
        <v>14265193.01</v>
      </c>
      <c r="W19" s="16">
        <v>331021.61</v>
      </c>
      <c r="X19" s="16">
        <v>0</v>
      </c>
      <c r="Y19" s="16">
        <f>2204732.17+89815.66</f>
        <v>2294547.83</v>
      </c>
      <c r="Z19" s="16">
        <f t="shared" si="8"/>
        <v>2294547.83</v>
      </c>
      <c r="AA19" s="25">
        <f t="shared" si="0"/>
        <v>16890762.449999999</v>
      </c>
      <c r="AB19" s="25">
        <f t="shared" si="1"/>
        <v>42705763.369999997</v>
      </c>
      <c r="AC19" s="32">
        <f t="shared" si="1"/>
        <v>993064.83</v>
      </c>
      <c r="AD19" s="27">
        <f t="shared" si="1"/>
        <v>0</v>
      </c>
      <c r="AE19" s="25">
        <f t="shared" si="2"/>
        <v>6781019</v>
      </c>
      <c r="AF19" s="25">
        <v>0</v>
      </c>
      <c r="AG19" s="28">
        <f t="shared" si="9"/>
        <v>6781019</v>
      </c>
      <c r="AH19" s="26">
        <f t="shared" si="10"/>
        <v>50479847.199999996</v>
      </c>
      <c r="AI19" s="27">
        <v>14265193.01</v>
      </c>
      <c r="AJ19" s="25">
        <v>331021.61</v>
      </c>
      <c r="AK19" s="32">
        <v>0</v>
      </c>
      <c r="AL19" s="27">
        <v>2204732.17</v>
      </c>
      <c r="AM19" s="25">
        <v>305461.83</v>
      </c>
      <c r="AN19" s="28">
        <f t="shared" si="11"/>
        <v>2510194</v>
      </c>
      <c r="AO19" s="32">
        <f t="shared" si="12"/>
        <v>17106408.619999997</v>
      </c>
      <c r="AP19" s="27">
        <v>14265193.01</v>
      </c>
      <c r="AQ19" s="25">
        <v>331021.61</v>
      </c>
      <c r="AR19" s="32">
        <v>0</v>
      </c>
      <c r="AS19" s="27">
        <v>2204732.17</v>
      </c>
      <c r="AT19" s="25">
        <v>0</v>
      </c>
      <c r="AU19" s="25">
        <f t="shared" si="13"/>
        <v>2204732.17</v>
      </c>
      <c r="AV19" s="25">
        <f t="shared" si="14"/>
        <v>16800946.789999999</v>
      </c>
      <c r="AW19" s="25">
        <v>14265193.01</v>
      </c>
      <c r="AX19" s="25">
        <v>331021.61</v>
      </c>
      <c r="AY19" s="25">
        <v>0</v>
      </c>
      <c r="AZ19" s="25">
        <v>2204732.17</v>
      </c>
      <c r="BA19" s="25">
        <v>0</v>
      </c>
      <c r="BB19" s="25">
        <f t="shared" si="15"/>
        <v>2204732.17</v>
      </c>
      <c r="BC19" s="25">
        <f t="shared" si="16"/>
        <v>16800946.789999999</v>
      </c>
      <c r="BD19" s="25">
        <v>14710875.289999999</v>
      </c>
      <c r="BE19" s="25">
        <v>331472.61</v>
      </c>
      <c r="BF19" s="25">
        <v>0</v>
      </c>
      <c r="BG19" s="25">
        <v>2204732.17</v>
      </c>
      <c r="BH19" s="25">
        <f t="shared" si="17"/>
        <v>17247080.07</v>
      </c>
      <c r="BI19" s="29">
        <v>14710875.289999999</v>
      </c>
      <c r="BJ19" s="29">
        <v>331472.61</v>
      </c>
      <c r="BK19" s="29">
        <v>0</v>
      </c>
      <c r="BL19" s="29">
        <v>2204732.17</v>
      </c>
      <c r="BM19" s="29">
        <f t="shared" si="18"/>
        <v>17247080.07</v>
      </c>
      <c r="BN19" s="30">
        <f t="shared" si="19"/>
        <v>135682309.53999996</v>
      </c>
    </row>
    <row r="20" spans="1:66" ht="21.75" customHeight="1">
      <c r="A20" s="19">
        <v>35</v>
      </c>
      <c r="B20" s="19" t="s">
        <v>110</v>
      </c>
      <c r="C20" s="19" t="s">
        <v>111</v>
      </c>
      <c r="D20" s="20" t="s">
        <v>112</v>
      </c>
      <c r="E20" s="21">
        <v>4204003</v>
      </c>
      <c r="F20" s="22">
        <v>0</v>
      </c>
      <c r="G20" s="23">
        <v>18131785.760000002</v>
      </c>
      <c r="H20" s="23">
        <f>145098.93-66317.4</f>
        <v>78781.53</v>
      </c>
      <c r="I20" s="23">
        <v>0</v>
      </c>
      <c r="J20" s="23">
        <v>2514583.27</v>
      </c>
      <c r="K20" s="24">
        <v>536794.73</v>
      </c>
      <c r="L20" s="24">
        <f t="shared" si="3"/>
        <v>3051378</v>
      </c>
      <c r="M20" s="24">
        <f t="shared" si="4"/>
        <v>3051378</v>
      </c>
      <c r="N20" s="24">
        <f t="shared" si="5"/>
        <v>21261945.290000003</v>
      </c>
      <c r="O20" s="23">
        <v>18131785.760000002</v>
      </c>
      <c r="P20" s="23">
        <v>145098.93</v>
      </c>
      <c r="Q20" s="23">
        <v>0</v>
      </c>
      <c r="R20" s="23">
        <v>2514583.27</v>
      </c>
      <c r="S20" s="23">
        <v>320297.73</v>
      </c>
      <c r="T20" s="23">
        <f t="shared" si="6"/>
        <v>2834881</v>
      </c>
      <c r="U20" s="23">
        <f t="shared" si="7"/>
        <v>21111765.690000001</v>
      </c>
      <c r="V20" s="16">
        <f>18131785.76+1384339.69</f>
        <v>19516125.450000003</v>
      </c>
      <c r="W20" s="16">
        <v>145098.93</v>
      </c>
      <c r="X20" s="16">
        <v>0</v>
      </c>
      <c r="Y20" s="16">
        <f>2514583.27+66317.4</f>
        <v>2580900.67</v>
      </c>
      <c r="Z20" s="16">
        <f t="shared" si="8"/>
        <v>3199162</v>
      </c>
      <c r="AA20" s="25">
        <f t="shared" si="0"/>
        <v>22242125.050000004</v>
      </c>
      <c r="AB20" s="25">
        <f t="shared" si="1"/>
        <v>55779696.970000006</v>
      </c>
      <c r="AC20" s="26">
        <f t="shared" si="1"/>
        <v>368979.39</v>
      </c>
      <c r="AD20" s="27">
        <f t="shared" si="1"/>
        <v>0</v>
      </c>
      <c r="AE20" s="25">
        <f t="shared" si="2"/>
        <v>8467159.6699999999</v>
      </c>
      <c r="AF20" s="28">
        <v>618261.32999999996</v>
      </c>
      <c r="AG20" s="28">
        <f t="shared" si="9"/>
        <v>9085421</v>
      </c>
      <c r="AH20" s="26">
        <f t="shared" si="10"/>
        <v>65234097.360000007</v>
      </c>
      <c r="AI20" s="27">
        <v>18131785.760000002</v>
      </c>
      <c r="AJ20" s="25">
        <v>145098.93</v>
      </c>
      <c r="AK20" s="26">
        <v>0</v>
      </c>
      <c r="AL20" s="27">
        <v>2514583.27</v>
      </c>
      <c r="AM20" s="25">
        <v>615369.73</v>
      </c>
      <c r="AN20" s="28">
        <f t="shared" si="11"/>
        <v>3129953</v>
      </c>
      <c r="AO20" s="26">
        <f t="shared" si="12"/>
        <v>21406837.690000001</v>
      </c>
      <c r="AP20" s="27">
        <f>18131785.76+4096420.15</f>
        <v>22228205.91</v>
      </c>
      <c r="AQ20" s="25">
        <v>145098.93</v>
      </c>
      <c r="AR20" s="26">
        <v>0</v>
      </c>
      <c r="AS20" s="27">
        <v>2514583.27</v>
      </c>
      <c r="AT20" s="25">
        <v>366789.73</v>
      </c>
      <c r="AU20" s="25">
        <f t="shared" si="13"/>
        <v>2881373</v>
      </c>
      <c r="AV20" s="25">
        <f t="shared" si="14"/>
        <v>25254677.84</v>
      </c>
      <c r="AW20" s="25">
        <f>18131785.76+2242573.74</f>
        <v>20374359.5</v>
      </c>
      <c r="AX20" s="25">
        <v>145098.93</v>
      </c>
      <c r="AY20" s="25">
        <v>0</v>
      </c>
      <c r="AZ20" s="25">
        <v>2514583.27</v>
      </c>
      <c r="BA20" s="25">
        <v>241473.73</v>
      </c>
      <c r="BB20" s="25">
        <f t="shared" si="15"/>
        <v>2756057</v>
      </c>
      <c r="BC20" s="25">
        <f t="shared" si="16"/>
        <v>23275515.43</v>
      </c>
      <c r="BD20" s="25">
        <f>18770687.05+3457518.86</f>
        <v>22228205.91</v>
      </c>
      <c r="BE20" s="25">
        <v>145212.37</v>
      </c>
      <c r="BF20" s="25">
        <v>0</v>
      </c>
      <c r="BG20" s="25">
        <v>2514583.27</v>
      </c>
      <c r="BH20" s="25">
        <f t="shared" si="17"/>
        <v>24888001.550000001</v>
      </c>
      <c r="BI20" s="29">
        <v>18770687.050000001</v>
      </c>
      <c r="BJ20" s="29">
        <v>131258.37</v>
      </c>
      <c r="BK20" s="29">
        <v>0</v>
      </c>
      <c r="BL20" s="29">
        <v>2514583.27</v>
      </c>
      <c r="BM20" s="29">
        <f t="shared" si="18"/>
        <v>21416528.690000001</v>
      </c>
      <c r="BN20" s="30">
        <f t="shared" si="19"/>
        <v>181475658.56000003</v>
      </c>
    </row>
    <row r="21" spans="1:66" ht="45">
      <c r="A21" s="19">
        <v>2</v>
      </c>
      <c r="B21" s="33" t="s">
        <v>113</v>
      </c>
      <c r="C21" s="33" t="s">
        <v>114</v>
      </c>
      <c r="D21" s="31" t="s">
        <v>115</v>
      </c>
      <c r="E21" s="21">
        <v>4204151</v>
      </c>
      <c r="F21" s="22">
        <v>0</v>
      </c>
      <c r="G21" s="23">
        <v>1617888.93</v>
      </c>
      <c r="H21" s="23">
        <v>0</v>
      </c>
      <c r="I21" s="23">
        <v>0</v>
      </c>
      <c r="J21" s="23">
        <v>328382.95</v>
      </c>
      <c r="K21" s="24">
        <v>0</v>
      </c>
      <c r="L21" s="24">
        <f t="shared" si="3"/>
        <v>328382.95</v>
      </c>
      <c r="M21" s="24">
        <f t="shared" si="4"/>
        <v>328382.95</v>
      </c>
      <c r="N21" s="24">
        <f t="shared" si="5"/>
        <v>1946271.88</v>
      </c>
      <c r="O21" s="23">
        <v>1617888.93</v>
      </c>
      <c r="P21" s="23">
        <v>0</v>
      </c>
      <c r="Q21" s="23">
        <v>0</v>
      </c>
      <c r="R21" s="23">
        <v>328382.95</v>
      </c>
      <c r="S21" s="23">
        <v>0</v>
      </c>
      <c r="T21" s="23">
        <f t="shared" si="6"/>
        <v>328382.95</v>
      </c>
      <c r="U21" s="23">
        <f t="shared" si="7"/>
        <v>1946271.88</v>
      </c>
      <c r="V21" s="16">
        <v>1617888.93</v>
      </c>
      <c r="W21" s="16">
        <v>0</v>
      </c>
      <c r="X21" s="16">
        <v>0</v>
      </c>
      <c r="Y21" s="16">
        <v>328382.95</v>
      </c>
      <c r="Z21" s="16">
        <f t="shared" si="8"/>
        <v>328382.95</v>
      </c>
      <c r="AA21" s="25">
        <f t="shared" si="0"/>
        <v>1946271.88</v>
      </c>
      <c r="AB21" s="25">
        <f t="shared" si="1"/>
        <v>4853666.79</v>
      </c>
      <c r="AC21" s="32">
        <f t="shared" si="1"/>
        <v>0</v>
      </c>
      <c r="AD21" s="27">
        <f t="shared" si="1"/>
        <v>0</v>
      </c>
      <c r="AE21" s="25">
        <f t="shared" si="2"/>
        <v>985148.85000000009</v>
      </c>
      <c r="AF21" s="25">
        <v>0</v>
      </c>
      <c r="AG21" s="28">
        <f t="shared" si="9"/>
        <v>985148.85000000009</v>
      </c>
      <c r="AH21" s="26">
        <f t="shared" si="10"/>
        <v>5838815.6400000006</v>
      </c>
      <c r="AI21" s="27">
        <v>1617888.93</v>
      </c>
      <c r="AJ21" s="25">
        <v>0</v>
      </c>
      <c r="AK21" s="32">
        <v>0</v>
      </c>
      <c r="AL21" s="27">
        <v>328382.95</v>
      </c>
      <c r="AM21" s="25">
        <v>19090.05</v>
      </c>
      <c r="AN21" s="28">
        <f t="shared" si="11"/>
        <v>347473</v>
      </c>
      <c r="AO21" s="32">
        <f t="shared" si="12"/>
        <v>1965361.93</v>
      </c>
      <c r="AP21" s="27">
        <v>1617888.93</v>
      </c>
      <c r="AQ21" s="25">
        <v>0</v>
      </c>
      <c r="AR21" s="32">
        <v>0</v>
      </c>
      <c r="AS21" s="27">
        <v>328382.95</v>
      </c>
      <c r="AT21" s="25">
        <v>0</v>
      </c>
      <c r="AU21" s="25">
        <f t="shared" si="13"/>
        <v>328382.95</v>
      </c>
      <c r="AV21" s="25">
        <f t="shared" si="14"/>
        <v>1946271.88</v>
      </c>
      <c r="AW21" s="25">
        <v>1617888.93</v>
      </c>
      <c r="AX21" s="25">
        <v>0</v>
      </c>
      <c r="AY21" s="25">
        <v>0</v>
      </c>
      <c r="AZ21" s="25">
        <v>328382.95</v>
      </c>
      <c r="BA21" s="25">
        <v>0</v>
      </c>
      <c r="BB21" s="25">
        <f t="shared" si="15"/>
        <v>328382.95</v>
      </c>
      <c r="BC21" s="25">
        <f t="shared" si="16"/>
        <v>1946271.88</v>
      </c>
      <c r="BD21" s="25">
        <v>1674200.62</v>
      </c>
      <c r="BE21" s="25">
        <v>0</v>
      </c>
      <c r="BF21" s="25">
        <v>0</v>
      </c>
      <c r="BG21" s="25">
        <v>328382.95</v>
      </c>
      <c r="BH21" s="25">
        <f t="shared" si="17"/>
        <v>2002583.57</v>
      </c>
      <c r="BI21" s="29">
        <v>1674200.62</v>
      </c>
      <c r="BJ21" s="29">
        <v>0</v>
      </c>
      <c r="BK21" s="29">
        <v>0</v>
      </c>
      <c r="BL21" s="29">
        <v>328382.95</v>
      </c>
      <c r="BM21" s="29">
        <f t="shared" si="18"/>
        <v>2002583.57</v>
      </c>
      <c r="BN21" s="30">
        <f t="shared" si="19"/>
        <v>15701888.469999999</v>
      </c>
    </row>
    <row r="22" spans="1:66" ht="30">
      <c r="A22" s="19">
        <v>3</v>
      </c>
      <c r="B22" s="19" t="s">
        <v>116</v>
      </c>
      <c r="C22" s="19" t="s">
        <v>117</v>
      </c>
      <c r="D22" s="31" t="s">
        <v>118</v>
      </c>
      <c r="E22" s="21">
        <v>4203709</v>
      </c>
      <c r="F22" s="22">
        <v>0</v>
      </c>
      <c r="G22" s="23">
        <f>5294013.38-413074.52</f>
        <v>4880938.8599999994</v>
      </c>
      <c r="H22" s="23">
        <v>55069.85</v>
      </c>
      <c r="I22" s="23">
        <v>65539.199999999997</v>
      </c>
      <c r="J22" s="23">
        <v>1724050.48</v>
      </c>
      <c r="K22" s="24">
        <v>353741.52</v>
      </c>
      <c r="L22" s="24">
        <f t="shared" si="3"/>
        <v>2077792</v>
      </c>
      <c r="M22" s="24">
        <f t="shared" si="4"/>
        <v>2077792</v>
      </c>
      <c r="N22" s="24">
        <f t="shared" si="5"/>
        <v>7079339.9099999983</v>
      </c>
      <c r="O22" s="23">
        <v>5294013.38</v>
      </c>
      <c r="P22" s="23">
        <v>55069.85</v>
      </c>
      <c r="Q22" s="23">
        <v>65539.199999999997</v>
      </c>
      <c r="R22" s="23">
        <v>1724050.48</v>
      </c>
      <c r="S22" s="23">
        <v>222933.52</v>
      </c>
      <c r="T22" s="23">
        <f t="shared" si="6"/>
        <v>1946984</v>
      </c>
      <c r="U22" s="23">
        <f t="shared" si="7"/>
        <v>7361606.4299999997</v>
      </c>
      <c r="V22" s="16">
        <v>5294013.38</v>
      </c>
      <c r="W22" s="16">
        <v>55069.85</v>
      </c>
      <c r="X22" s="16">
        <v>65539.199999999997</v>
      </c>
      <c r="Y22" s="16">
        <f>1724050.48+413074.52</f>
        <v>2137125</v>
      </c>
      <c r="Z22" s="16">
        <f t="shared" si="8"/>
        <v>2137125</v>
      </c>
      <c r="AA22" s="25">
        <f t="shared" si="0"/>
        <v>7551747.4299999997</v>
      </c>
      <c r="AB22" s="25">
        <f t="shared" si="1"/>
        <v>15468965.619999997</v>
      </c>
      <c r="AC22" s="32">
        <f t="shared" si="1"/>
        <v>165209.54999999999</v>
      </c>
      <c r="AD22" s="27">
        <f t="shared" si="1"/>
        <v>196617.59999999998</v>
      </c>
      <c r="AE22" s="25">
        <f t="shared" si="2"/>
        <v>6161901</v>
      </c>
      <c r="AF22" s="25">
        <v>0</v>
      </c>
      <c r="AG22" s="28">
        <f t="shared" si="9"/>
        <v>6161901</v>
      </c>
      <c r="AH22" s="26">
        <f t="shared" si="10"/>
        <v>21992693.769999996</v>
      </c>
      <c r="AI22" s="27">
        <v>5294013.38</v>
      </c>
      <c r="AJ22" s="25">
        <v>55069.85</v>
      </c>
      <c r="AK22" s="32">
        <v>65539.199999999997</v>
      </c>
      <c r="AL22" s="27">
        <v>1724050.48</v>
      </c>
      <c r="AM22" s="25">
        <v>576908.52</v>
      </c>
      <c r="AN22" s="28">
        <f t="shared" si="11"/>
        <v>2300959</v>
      </c>
      <c r="AO22" s="32">
        <f t="shared" si="12"/>
        <v>7715581.4299999997</v>
      </c>
      <c r="AP22" s="27">
        <v>5294013.38</v>
      </c>
      <c r="AQ22" s="25">
        <v>55069.85</v>
      </c>
      <c r="AR22" s="32">
        <v>65539.199999999997</v>
      </c>
      <c r="AS22" s="27">
        <v>1724050.48</v>
      </c>
      <c r="AT22" s="25">
        <v>245967.52</v>
      </c>
      <c r="AU22" s="25">
        <f t="shared" si="13"/>
        <v>1970018</v>
      </c>
      <c r="AV22" s="25">
        <f t="shared" si="14"/>
        <v>7384640.4299999997</v>
      </c>
      <c r="AW22" s="25">
        <v>5294013.38</v>
      </c>
      <c r="AX22" s="25">
        <v>55069.85</v>
      </c>
      <c r="AY22" s="25">
        <v>65539.199999999997</v>
      </c>
      <c r="AZ22" s="25">
        <v>1724050.48</v>
      </c>
      <c r="BA22" s="25">
        <v>268652.52</v>
      </c>
      <c r="BB22" s="25">
        <f t="shared" si="15"/>
        <v>1992703</v>
      </c>
      <c r="BC22" s="25">
        <f t="shared" si="16"/>
        <v>7407325.4299999997</v>
      </c>
      <c r="BD22" s="25">
        <v>5312095.1100000003</v>
      </c>
      <c r="BE22" s="25">
        <v>56519.06</v>
      </c>
      <c r="BF22" s="25">
        <v>65539.199999999997</v>
      </c>
      <c r="BG22" s="25">
        <v>1724050.48</v>
      </c>
      <c r="BH22" s="25">
        <f t="shared" si="17"/>
        <v>7158203.8499999996</v>
      </c>
      <c r="BI22" s="29">
        <v>5312095.1100000003</v>
      </c>
      <c r="BJ22" s="29">
        <v>55107.39</v>
      </c>
      <c r="BK22" s="29">
        <v>65539.199999999997</v>
      </c>
      <c r="BL22" s="29">
        <v>1724050.48</v>
      </c>
      <c r="BM22" s="29">
        <f t="shared" si="18"/>
        <v>7156792.1799999997</v>
      </c>
      <c r="BN22" s="30">
        <f t="shared" si="19"/>
        <v>58815237.089999996</v>
      </c>
    </row>
    <row r="23" spans="1:66" ht="45">
      <c r="A23" s="19">
        <v>23</v>
      </c>
      <c r="B23" s="33" t="s">
        <v>119</v>
      </c>
      <c r="C23" s="33" t="s">
        <v>120</v>
      </c>
      <c r="D23" s="20" t="s">
        <v>121</v>
      </c>
      <c r="E23" s="21">
        <v>4266308</v>
      </c>
      <c r="F23" s="22">
        <v>0</v>
      </c>
      <c r="G23" s="23">
        <v>4917839.76</v>
      </c>
      <c r="H23" s="23">
        <v>1033704</v>
      </c>
      <c r="I23" s="23">
        <v>0</v>
      </c>
      <c r="J23" s="23">
        <v>1655348.11</v>
      </c>
      <c r="K23" s="24">
        <v>0</v>
      </c>
      <c r="L23" s="24">
        <f t="shared" si="3"/>
        <v>1655348.11</v>
      </c>
      <c r="M23" s="24">
        <f t="shared" si="4"/>
        <v>1655348.11</v>
      </c>
      <c r="N23" s="24">
        <f t="shared" si="5"/>
        <v>7606891.8700000001</v>
      </c>
      <c r="O23" s="23">
        <v>4917839.76</v>
      </c>
      <c r="P23" s="23">
        <v>1033704</v>
      </c>
      <c r="Q23" s="23">
        <v>0</v>
      </c>
      <c r="R23" s="23">
        <v>1655348.11</v>
      </c>
      <c r="S23" s="23">
        <v>0</v>
      </c>
      <c r="T23" s="23">
        <f t="shared" si="6"/>
        <v>1655348.11</v>
      </c>
      <c r="U23" s="23">
        <f t="shared" si="7"/>
        <v>7606891.8700000001</v>
      </c>
      <c r="V23" s="16">
        <v>4917839.76</v>
      </c>
      <c r="W23" s="16">
        <v>1033704</v>
      </c>
      <c r="X23" s="16">
        <v>0</v>
      </c>
      <c r="Y23" s="16">
        <v>1655348.11</v>
      </c>
      <c r="Z23" s="16">
        <f t="shared" si="8"/>
        <v>1655348.11</v>
      </c>
      <c r="AA23" s="25">
        <f t="shared" si="0"/>
        <v>7606891.8700000001</v>
      </c>
      <c r="AB23" s="25">
        <f t="shared" si="1"/>
        <v>14753519.279999999</v>
      </c>
      <c r="AC23" s="26">
        <f t="shared" si="1"/>
        <v>3101112</v>
      </c>
      <c r="AD23" s="27">
        <f t="shared" si="1"/>
        <v>0</v>
      </c>
      <c r="AE23" s="25">
        <f t="shared" si="2"/>
        <v>4966044.33</v>
      </c>
      <c r="AF23" s="28">
        <v>0</v>
      </c>
      <c r="AG23" s="28">
        <f t="shared" si="9"/>
        <v>4966044.33</v>
      </c>
      <c r="AH23" s="26">
        <f t="shared" si="10"/>
        <v>22820675.609999999</v>
      </c>
      <c r="AI23" s="27">
        <v>4917839.76</v>
      </c>
      <c r="AJ23" s="25">
        <v>1033704</v>
      </c>
      <c r="AK23" s="26">
        <v>0</v>
      </c>
      <c r="AL23" s="27">
        <v>1655348.11</v>
      </c>
      <c r="AM23" s="25">
        <v>60223.89</v>
      </c>
      <c r="AN23" s="28">
        <f t="shared" si="11"/>
        <v>1715572</v>
      </c>
      <c r="AO23" s="26">
        <f t="shared" si="12"/>
        <v>7667115.7599999998</v>
      </c>
      <c r="AP23" s="27">
        <v>4917839.76</v>
      </c>
      <c r="AQ23" s="25">
        <v>1033704</v>
      </c>
      <c r="AR23" s="26">
        <v>0</v>
      </c>
      <c r="AS23" s="27">
        <v>1655348.11</v>
      </c>
      <c r="AT23" s="25">
        <v>0</v>
      </c>
      <c r="AU23" s="25">
        <f t="shared" si="13"/>
        <v>1655348.11</v>
      </c>
      <c r="AV23" s="25">
        <f t="shared" si="14"/>
        <v>7606891.8700000001</v>
      </c>
      <c r="AW23" s="25">
        <v>4917839.76</v>
      </c>
      <c r="AX23" s="25">
        <v>1033704</v>
      </c>
      <c r="AY23" s="25">
        <v>0</v>
      </c>
      <c r="AZ23" s="25">
        <v>1655348.11</v>
      </c>
      <c r="BA23" s="25">
        <v>0</v>
      </c>
      <c r="BB23" s="25">
        <f t="shared" si="15"/>
        <v>1655348.11</v>
      </c>
      <c r="BC23" s="25">
        <f t="shared" si="16"/>
        <v>7606891.8700000001</v>
      </c>
      <c r="BD23" s="25">
        <v>4843889.3099999996</v>
      </c>
      <c r="BE23" s="25">
        <v>1033704</v>
      </c>
      <c r="BF23" s="25">
        <v>0</v>
      </c>
      <c r="BG23" s="25">
        <v>1655348.11</v>
      </c>
      <c r="BH23" s="25">
        <f t="shared" si="17"/>
        <v>7532941.4199999999</v>
      </c>
      <c r="BI23" s="29">
        <v>4843889.3099999996</v>
      </c>
      <c r="BJ23" s="29">
        <v>1033704</v>
      </c>
      <c r="BK23" s="29">
        <v>0</v>
      </c>
      <c r="BL23" s="29">
        <v>1655348.11</v>
      </c>
      <c r="BM23" s="29">
        <f t="shared" si="18"/>
        <v>7532941.4199999999</v>
      </c>
      <c r="BN23" s="30">
        <f t="shared" si="19"/>
        <v>60767457.949999996</v>
      </c>
    </row>
    <row r="24" spans="1:66" ht="30">
      <c r="A24" s="19">
        <v>31</v>
      </c>
      <c r="B24" s="33" t="s">
        <v>122</v>
      </c>
      <c r="C24" s="33" t="s">
        <v>123</v>
      </c>
      <c r="D24" s="31" t="s">
        <v>124</v>
      </c>
      <c r="E24" s="21">
        <v>5062357</v>
      </c>
      <c r="F24" s="22">
        <v>0</v>
      </c>
      <c r="G24" s="23">
        <v>3140539.04</v>
      </c>
      <c r="H24" s="23">
        <v>0</v>
      </c>
      <c r="I24" s="23">
        <v>0</v>
      </c>
      <c r="J24" s="23">
        <v>0</v>
      </c>
      <c r="K24" s="24">
        <v>0</v>
      </c>
      <c r="L24" s="24">
        <f t="shared" si="3"/>
        <v>0</v>
      </c>
      <c r="M24" s="24">
        <f t="shared" si="4"/>
        <v>0</v>
      </c>
      <c r="N24" s="24">
        <f t="shared" si="5"/>
        <v>3140539.04</v>
      </c>
      <c r="O24" s="23">
        <v>3140539.04</v>
      </c>
      <c r="P24" s="23">
        <v>0</v>
      </c>
      <c r="Q24" s="23">
        <v>0</v>
      </c>
      <c r="R24" s="23">
        <v>0</v>
      </c>
      <c r="S24" s="23">
        <v>0</v>
      </c>
      <c r="T24" s="23">
        <f t="shared" si="6"/>
        <v>0</v>
      </c>
      <c r="U24" s="23">
        <f t="shared" si="7"/>
        <v>3140539.04</v>
      </c>
      <c r="V24" s="16">
        <v>3140539.04</v>
      </c>
      <c r="W24" s="16">
        <v>0</v>
      </c>
      <c r="X24" s="16">
        <v>0</v>
      </c>
      <c r="Y24" s="16">
        <v>0</v>
      </c>
      <c r="Z24" s="16">
        <f t="shared" si="8"/>
        <v>0</v>
      </c>
      <c r="AA24" s="25">
        <f t="shared" si="0"/>
        <v>3140539.04</v>
      </c>
      <c r="AB24" s="25">
        <f t="shared" si="1"/>
        <v>9421617.120000001</v>
      </c>
      <c r="AC24" s="32">
        <f t="shared" si="1"/>
        <v>0</v>
      </c>
      <c r="AD24" s="27">
        <f t="shared" si="1"/>
        <v>0</v>
      </c>
      <c r="AE24" s="25">
        <f t="shared" si="2"/>
        <v>0</v>
      </c>
      <c r="AF24" s="25">
        <v>0</v>
      </c>
      <c r="AG24" s="28">
        <f t="shared" si="9"/>
        <v>0</v>
      </c>
      <c r="AH24" s="26">
        <f t="shared" si="10"/>
        <v>9421617.120000001</v>
      </c>
      <c r="AI24" s="27">
        <v>3140539.04</v>
      </c>
      <c r="AJ24" s="25">
        <v>0</v>
      </c>
      <c r="AK24" s="32">
        <v>0</v>
      </c>
      <c r="AL24" s="27">
        <v>0</v>
      </c>
      <c r="AM24" s="25">
        <v>0</v>
      </c>
      <c r="AN24" s="28">
        <f t="shared" si="11"/>
        <v>0</v>
      </c>
      <c r="AO24" s="32">
        <f t="shared" si="12"/>
        <v>3140539.04</v>
      </c>
      <c r="AP24" s="27">
        <v>3140539.04</v>
      </c>
      <c r="AQ24" s="25">
        <v>0</v>
      </c>
      <c r="AR24" s="32">
        <v>0</v>
      </c>
      <c r="AS24" s="27">
        <v>0</v>
      </c>
      <c r="AT24" s="25">
        <v>0</v>
      </c>
      <c r="AU24" s="25">
        <f t="shared" si="13"/>
        <v>0</v>
      </c>
      <c r="AV24" s="25">
        <f t="shared" si="14"/>
        <v>3140539.04</v>
      </c>
      <c r="AW24" s="25">
        <v>3140539.04</v>
      </c>
      <c r="AX24" s="25">
        <v>0</v>
      </c>
      <c r="AY24" s="25">
        <v>0</v>
      </c>
      <c r="AZ24" s="25">
        <v>0</v>
      </c>
      <c r="BA24" s="25">
        <v>0</v>
      </c>
      <c r="BB24" s="25">
        <f t="shared" si="15"/>
        <v>0</v>
      </c>
      <c r="BC24" s="25">
        <f t="shared" si="16"/>
        <v>3140539.04</v>
      </c>
      <c r="BD24" s="25">
        <v>3925092.81</v>
      </c>
      <c r="BE24" s="25">
        <v>0</v>
      </c>
      <c r="BF24" s="25">
        <v>0</v>
      </c>
      <c r="BG24" s="25">
        <v>0</v>
      </c>
      <c r="BH24" s="25">
        <f t="shared" si="17"/>
        <v>3925092.81</v>
      </c>
      <c r="BI24" s="29">
        <v>3925092.81</v>
      </c>
      <c r="BJ24" s="29">
        <v>0</v>
      </c>
      <c r="BK24" s="29">
        <v>0</v>
      </c>
      <c r="BL24" s="29">
        <v>0</v>
      </c>
      <c r="BM24" s="29">
        <f t="shared" si="18"/>
        <v>3925092.81</v>
      </c>
      <c r="BN24" s="30">
        <f t="shared" si="19"/>
        <v>26693419.859999996</v>
      </c>
    </row>
    <row r="25" spans="1:66">
      <c r="A25" s="19">
        <v>26</v>
      </c>
      <c r="B25" s="19" t="s">
        <v>125</v>
      </c>
      <c r="C25" s="19" t="s">
        <v>126</v>
      </c>
      <c r="D25" s="31" t="s">
        <v>127</v>
      </c>
      <c r="E25" s="21">
        <v>4192960</v>
      </c>
      <c r="F25" s="22">
        <v>257972.94</v>
      </c>
      <c r="G25" s="23">
        <v>3014295.21</v>
      </c>
      <c r="H25" s="23">
        <v>0</v>
      </c>
      <c r="I25" s="23">
        <v>0</v>
      </c>
      <c r="J25" s="23">
        <v>988176.93</v>
      </c>
      <c r="K25" s="24">
        <v>302357.07</v>
      </c>
      <c r="L25" s="24">
        <f t="shared" si="3"/>
        <v>1290534</v>
      </c>
      <c r="M25" s="24">
        <f t="shared" si="4"/>
        <v>1290534</v>
      </c>
      <c r="N25" s="24">
        <f t="shared" si="5"/>
        <v>4304829.21</v>
      </c>
      <c r="O25" s="23">
        <v>3014295.21</v>
      </c>
      <c r="P25" s="23">
        <v>0</v>
      </c>
      <c r="Q25" s="23">
        <v>0</v>
      </c>
      <c r="R25" s="23">
        <v>988176.93</v>
      </c>
      <c r="S25" s="23">
        <v>93178.07</v>
      </c>
      <c r="T25" s="23">
        <f t="shared" si="6"/>
        <v>1081355</v>
      </c>
      <c r="U25" s="23">
        <f t="shared" si="7"/>
        <v>4095650.21</v>
      </c>
      <c r="V25" s="16">
        <v>3014295.21</v>
      </c>
      <c r="W25" s="16">
        <v>0</v>
      </c>
      <c r="X25" s="16">
        <v>0</v>
      </c>
      <c r="Y25" s="16">
        <v>988176.93</v>
      </c>
      <c r="Z25" s="16">
        <f t="shared" si="8"/>
        <v>1325387</v>
      </c>
      <c r="AA25" s="25">
        <f t="shared" si="0"/>
        <v>4002472.14</v>
      </c>
      <c r="AB25" s="25">
        <f t="shared" si="1"/>
        <v>9042885.629999999</v>
      </c>
      <c r="AC25" s="32">
        <f t="shared" si="1"/>
        <v>0</v>
      </c>
      <c r="AD25" s="27">
        <f t="shared" si="1"/>
        <v>0</v>
      </c>
      <c r="AE25" s="25">
        <f t="shared" si="2"/>
        <v>3360065.9299999997</v>
      </c>
      <c r="AF25" s="25">
        <v>337210.07</v>
      </c>
      <c r="AG25" s="28">
        <f t="shared" si="9"/>
        <v>3697275.9999999995</v>
      </c>
      <c r="AH25" s="26">
        <f t="shared" si="10"/>
        <v>12740161.629999999</v>
      </c>
      <c r="AI25" s="27">
        <v>3014295.21</v>
      </c>
      <c r="AJ25" s="25">
        <v>0</v>
      </c>
      <c r="AK25" s="32">
        <v>0</v>
      </c>
      <c r="AL25" s="27">
        <v>988176.93</v>
      </c>
      <c r="AM25" s="25">
        <v>213058.07</v>
      </c>
      <c r="AN25" s="28">
        <f t="shared" si="11"/>
        <v>1201235</v>
      </c>
      <c r="AO25" s="32">
        <f t="shared" si="12"/>
        <v>4215530.21</v>
      </c>
      <c r="AP25" s="27">
        <v>3014295.21</v>
      </c>
      <c r="AQ25" s="25">
        <v>0</v>
      </c>
      <c r="AR25" s="32">
        <v>0</v>
      </c>
      <c r="AS25" s="27">
        <v>988176.93</v>
      </c>
      <c r="AT25" s="25">
        <v>300130.07</v>
      </c>
      <c r="AU25" s="25">
        <f t="shared" si="13"/>
        <v>1288307</v>
      </c>
      <c r="AV25" s="25">
        <f t="shared" si="14"/>
        <v>4302602.21</v>
      </c>
      <c r="AW25" s="25">
        <f>3014295.21+372813.76</f>
        <v>3387108.9699999997</v>
      </c>
      <c r="AX25" s="25">
        <v>0</v>
      </c>
      <c r="AY25" s="25">
        <v>0</v>
      </c>
      <c r="AZ25" s="25">
        <v>988176.93</v>
      </c>
      <c r="BA25" s="25">
        <v>294768.07</v>
      </c>
      <c r="BB25" s="25">
        <f t="shared" si="15"/>
        <v>1282945</v>
      </c>
      <c r="BC25" s="25">
        <f t="shared" si="16"/>
        <v>4670053.97</v>
      </c>
      <c r="BD25" s="25">
        <f>3645012.16+76339.95</f>
        <v>3721352.1100000003</v>
      </c>
      <c r="BE25" s="25">
        <v>0</v>
      </c>
      <c r="BF25" s="25">
        <v>0</v>
      </c>
      <c r="BG25" s="25">
        <v>988176.93</v>
      </c>
      <c r="BH25" s="25">
        <f t="shared" si="17"/>
        <v>4709529.04</v>
      </c>
      <c r="BI25" s="29">
        <v>3645012.16</v>
      </c>
      <c r="BJ25" s="29">
        <v>0</v>
      </c>
      <c r="BK25" s="29">
        <v>0</v>
      </c>
      <c r="BL25" s="29">
        <v>988176.93</v>
      </c>
      <c r="BM25" s="29">
        <f t="shared" si="18"/>
        <v>4633189.09</v>
      </c>
      <c r="BN25" s="30">
        <f t="shared" si="19"/>
        <v>35529039.090000004</v>
      </c>
    </row>
    <row r="26" spans="1:66" ht="45">
      <c r="A26" s="19">
        <v>39</v>
      </c>
      <c r="B26" s="19" t="s">
        <v>128</v>
      </c>
      <c r="C26" s="19" t="s">
        <v>129</v>
      </c>
      <c r="D26" s="31" t="s">
        <v>130</v>
      </c>
      <c r="E26" s="21">
        <v>4266006</v>
      </c>
      <c r="F26" s="22">
        <v>0</v>
      </c>
      <c r="G26" s="23">
        <v>0</v>
      </c>
      <c r="H26" s="23">
        <f>2373307.04-157630.65</f>
        <v>2215676.39</v>
      </c>
      <c r="I26" s="23">
        <v>0</v>
      </c>
      <c r="J26" s="23">
        <v>563379.35</v>
      </c>
      <c r="K26" s="24">
        <v>970.65</v>
      </c>
      <c r="L26" s="24">
        <f t="shared" si="3"/>
        <v>564350</v>
      </c>
      <c r="M26" s="24">
        <f t="shared" si="4"/>
        <v>564350</v>
      </c>
      <c r="N26" s="24">
        <f t="shared" si="5"/>
        <v>2780026.39</v>
      </c>
      <c r="O26" s="23">
        <v>0</v>
      </c>
      <c r="P26" s="23">
        <v>2373307.04</v>
      </c>
      <c r="Q26" s="23">
        <v>0</v>
      </c>
      <c r="R26" s="23">
        <v>563379.35</v>
      </c>
      <c r="S26" s="23">
        <v>72815.649999999994</v>
      </c>
      <c r="T26" s="23">
        <f t="shared" si="6"/>
        <v>636195</v>
      </c>
      <c r="U26" s="23">
        <f t="shared" si="7"/>
        <v>3009502.04</v>
      </c>
      <c r="V26" s="16">
        <v>0</v>
      </c>
      <c r="W26" s="16">
        <v>2373307.04</v>
      </c>
      <c r="X26" s="16">
        <v>0</v>
      </c>
      <c r="Y26" s="16">
        <f>563379.35+157630.65</f>
        <v>721010</v>
      </c>
      <c r="Z26" s="16">
        <f t="shared" si="8"/>
        <v>721010</v>
      </c>
      <c r="AA26" s="25">
        <f t="shared" si="0"/>
        <v>3094317.04</v>
      </c>
      <c r="AB26" s="25">
        <f t="shared" si="1"/>
        <v>0</v>
      </c>
      <c r="AC26" s="32">
        <f t="shared" si="1"/>
        <v>6962290.4699999997</v>
      </c>
      <c r="AD26" s="27">
        <f t="shared" si="1"/>
        <v>0</v>
      </c>
      <c r="AE26" s="25">
        <f t="shared" si="2"/>
        <v>1921554.9999999998</v>
      </c>
      <c r="AF26" s="25">
        <v>0</v>
      </c>
      <c r="AG26" s="28">
        <f t="shared" si="9"/>
        <v>1921554.9999999998</v>
      </c>
      <c r="AH26" s="26">
        <f t="shared" si="10"/>
        <v>8883845.4699999988</v>
      </c>
      <c r="AI26" s="27">
        <v>0</v>
      </c>
      <c r="AJ26" s="25">
        <v>2373307.04</v>
      </c>
      <c r="AK26" s="32">
        <v>0</v>
      </c>
      <c r="AL26" s="27">
        <v>563379.35</v>
      </c>
      <c r="AM26" s="25">
        <v>60467.65</v>
      </c>
      <c r="AN26" s="28">
        <f t="shared" si="11"/>
        <v>623847</v>
      </c>
      <c r="AO26" s="32">
        <f t="shared" si="12"/>
        <v>2997154.04</v>
      </c>
      <c r="AP26" s="27">
        <v>0</v>
      </c>
      <c r="AQ26" s="25">
        <v>2373307.04</v>
      </c>
      <c r="AR26" s="32">
        <v>0</v>
      </c>
      <c r="AS26" s="27">
        <v>563379.35</v>
      </c>
      <c r="AT26" s="25">
        <v>68036.649999999994</v>
      </c>
      <c r="AU26" s="25">
        <f t="shared" si="13"/>
        <v>631416</v>
      </c>
      <c r="AV26" s="25">
        <f t="shared" si="14"/>
        <v>3004723.04</v>
      </c>
      <c r="AW26" s="25">
        <v>0</v>
      </c>
      <c r="AX26" s="25">
        <v>2373307.04</v>
      </c>
      <c r="AY26" s="25">
        <v>0</v>
      </c>
      <c r="AZ26" s="25">
        <v>563379.35</v>
      </c>
      <c r="BA26" s="25">
        <v>0</v>
      </c>
      <c r="BB26" s="25">
        <f t="shared" si="15"/>
        <v>563379.35</v>
      </c>
      <c r="BC26" s="25">
        <f t="shared" si="16"/>
        <v>2936686.39</v>
      </c>
      <c r="BD26" s="25">
        <v>0</v>
      </c>
      <c r="BE26" s="25">
        <v>2372495.38</v>
      </c>
      <c r="BF26" s="25">
        <v>0</v>
      </c>
      <c r="BG26" s="25">
        <v>563379.35</v>
      </c>
      <c r="BH26" s="25">
        <f t="shared" si="17"/>
        <v>2935874.73</v>
      </c>
      <c r="BI26" s="29">
        <v>0</v>
      </c>
      <c r="BJ26" s="29">
        <v>2292309.5</v>
      </c>
      <c r="BK26" s="29">
        <v>0</v>
      </c>
      <c r="BL26" s="29">
        <v>563379.35</v>
      </c>
      <c r="BM26" s="29">
        <f t="shared" si="18"/>
        <v>2855688.85</v>
      </c>
      <c r="BN26" s="30">
        <f t="shared" si="19"/>
        <v>23613972.52</v>
      </c>
    </row>
    <row r="27" spans="1:66" ht="30">
      <c r="A27" s="19">
        <v>7</v>
      </c>
      <c r="B27" s="19" t="s">
        <v>131</v>
      </c>
      <c r="C27" s="19" t="s">
        <v>132</v>
      </c>
      <c r="D27" s="31" t="s">
        <v>133</v>
      </c>
      <c r="E27" s="21">
        <v>4204178</v>
      </c>
      <c r="F27" s="22">
        <v>0</v>
      </c>
      <c r="G27" s="23">
        <v>6266479.7599999998</v>
      </c>
      <c r="H27" s="23">
        <v>353659.67</v>
      </c>
      <c r="I27" s="23">
        <v>0</v>
      </c>
      <c r="J27" s="23">
        <v>726423.93</v>
      </c>
      <c r="K27" s="24">
        <v>0</v>
      </c>
      <c r="L27" s="24">
        <f t="shared" si="3"/>
        <v>726423.93</v>
      </c>
      <c r="M27" s="24">
        <f t="shared" si="4"/>
        <v>726423.93</v>
      </c>
      <c r="N27" s="24">
        <f t="shared" si="5"/>
        <v>7346563.3599999994</v>
      </c>
      <c r="O27" s="23">
        <v>6266479.7599999998</v>
      </c>
      <c r="P27" s="23">
        <v>353659.67</v>
      </c>
      <c r="Q27" s="23">
        <v>0</v>
      </c>
      <c r="R27" s="23">
        <v>726423.93</v>
      </c>
      <c r="S27" s="23">
        <v>0</v>
      </c>
      <c r="T27" s="23">
        <f t="shared" si="6"/>
        <v>726423.93</v>
      </c>
      <c r="U27" s="23">
        <f t="shared" si="7"/>
        <v>7346563.3599999994</v>
      </c>
      <c r="V27" s="16">
        <v>6266479.7599999998</v>
      </c>
      <c r="W27" s="16">
        <v>353659.67</v>
      </c>
      <c r="X27" s="16">
        <v>0</v>
      </c>
      <c r="Y27" s="16">
        <v>726423.93</v>
      </c>
      <c r="Z27" s="16">
        <f t="shared" si="8"/>
        <v>726423.93</v>
      </c>
      <c r="AA27" s="25">
        <f t="shared" si="0"/>
        <v>7346563.3599999994</v>
      </c>
      <c r="AB27" s="25">
        <f t="shared" si="1"/>
        <v>18799439.280000001</v>
      </c>
      <c r="AC27" s="32">
        <f t="shared" si="1"/>
        <v>1060979.01</v>
      </c>
      <c r="AD27" s="27">
        <f t="shared" si="1"/>
        <v>0</v>
      </c>
      <c r="AE27" s="25">
        <f t="shared" si="2"/>
        <v>2179271.79</v>
      </c>
      <c r="AF27" s="25">
        <v>0</v>
      </c>
      <c r="AG27" s="28">
        <f t="shared" si="9"/>
        <v>2179271.79</v>
      </c>
      <c r="AH27" s="26">
        <f t="shared" si="10"/>
        <v>22039690.080000002</v>
      </c>
      <c r="AI27" s="27">
        <v>6266479.7599999998</v>
      </c>
      <c r="AJ27" s="25">
        <v>353659.67</v>
      </c>
      <c r="AK27" s="32">
        <v>0</v>
      </c>
      <c r="AL27" s="27">
        <v>726423.93</v>
      </c>
      <c r="AM27" s="25">
        <v>0</v>
      </c>
      <c r="AN27" s="28">
        <f t="shared" si="11"/>
        <v>726423.93</v>
      </c>
      <c r="AO27" s="32">
        <f t="shared" si="12"/>
        <v>7346563.3599999994</v>
      </c>
      <c r="AP27" s="27">
        <v>6266479.7599999998</v>
      </c>
      <c r="AQ27" s="25">
        <v>353659.67</v>
      </c>
      <c r="AR27" s="32">
        <v>0</v>
      </c>
      <c r="AS27" s="27">
        <v>726423.93</v>
      </c>
      <c r="AT27" s="25">
        <v>0</v>
      </c>
      <c r="AU27" s="25">
        <f t="shared" si="13"/>
        <v>726423.93</v>
      </c>
      <c r="AV27" s="25">
        <f t="shared" si="14"/>
        <v>7346563.3599999994</v>
      </c>
      <c r="AW27" s="25">
        <v>6266479.7599999998</v>
      </c>
      <c r="AX27" s="25">
        <v>353659.67</v>
      </c>
      <c r="AY27" s="25">
        <v>0</v>
      </c>
      <c r="AZ27" s="25">
        <v>726423.93</v>
      </c>
      <c r="BA27" s="25">
        <v>0</v>
      </c>
      <c r="BB27" s="25">
        <f t="shared" si="15"/>
        <v>726423.93</v>
      </c>
      <c r="BC27" s="25">
        <f t="shared" si="16"/>
        <v>7346563.3599999994</v>
      </c>
      <c r="BD27" s="25">
        <v>5984540.2699999996</v>
      </c>
      <c r="BE27" s="25">
        <v>353659.67</v>
      </c>
      <c r="BF27" s="25">
        <v>0</v>
      </c>
      <c r="BG27" s="25">
        <v>726423.93</v>
      </c>
      <c r="BH27" s="25">
        <f t="shared" si="17"/>
        <v>7064623.8699999992</v>
      </c>
      <c r="BI27" s="29">
        <v>5984540.2699999996</v>
      </c>
      <c r="BJ27" s="29">
        <v>353659.67</v>
      </c>
      <c r="BK27" s="29">
        <v>0</v>
      </c>
      <c r="BL27" s="29">
        <v>726423.93</v>
      </c>
      <c r="BM27" s="29">
        <f t="shared" si="18"/>
        <v>7064623.8699999992</v>
      </c>
      <c r="BN27" s="30">
        <f t="shared" si="19"/>
        <v>58208627.899999991</v>
      </c>
    </row>
    <row r="28" spans="1:66" ht="30">
      <c r="A28" s="19">
        <v>34</v>
      </c>
      <c r="B28" s="19" t="s">
        <v>134</v>
      </c>
      <c r="C28" s="19" t="s">
        <v>135</v>
      </c>
      <c r="D28" s="31" t="s">
        <v>136</v>
      </c>
      <c r="E28" s="21">
        <v>4340650</v>
      </c>
      <c r="F28" s="22">
        <v>0</v>
      </c>
      <c r="G28" s="23">
        <v>0</v>
      </c>
      <c r="H28" s="23">
        <v>1554183.29</v>
      </c>
      <c r="I28" s="23">
        <v>436928</v>
      </c>
      <c r="J28" s="23">
        <v>103755.53</v>
      </c>
      <c r="K28" s="24">
        <v>0</v>
      </c>
      <c r="L28" s="24">
        <f t="shared" si="3"/>
        <v>103755.53</v>
      </c>
      <c r="M28" s="24">
        <f t="shared" si="4"/>
        <v>103755.53</v>
      </c>
      <c r="N28" s="24">
        <f t="shared" si="5"/>
        <v>2094866.82</v>
      </c>
      <c r="O28" s="23">
        <v>0</v>
      </c>
      <c r="P28" s="23">
        <v>1554183.29</v>
      </c>
      <c r="Q28" s="23">
        <v>436928</v>
      </c>
      <c r="R28" s="23">
        <v>103755.53</v>
      </c>
      <c r="S28" s="23">
        <v>0</v>
      </c>
      <c r="T28" s="23">
        <f t="shared" si="6"/>
        <v>103755.53</v>
      </c>
      <c r="U28" s="23">
        <f t="shared" si="7"/>
        <v>2094866.82</v>
      </c>
      <c r="V28" s="16">
        <v>0</v>
      </c>
      <c r="W28" s="16">
        <v>1554183.29</v>
      </c>
      <c r="X28" s="16">
        <v>436928</v>
      </c>
      <c r="Y28" s="16">
        <v>103755.53</v>
      </c>
      <c r="Z28" s="16">
        <f t="shared" si="8"/>
        <v>103755.53</v>
      </c>
      <c r="AA28" s="25">
        <f t="shared" si="0"/>
        <v>2094866.82</v>
      </c>
      <c r="AB28" s="25">
        <f t="shared" si="1"/>
        <v>0</v>
      </c>
      <c r="AC28" s="32">
        <f t="shared" si="1"/>
        <v>4662549.87</v>
      </c>
      <c r="AD28" s="27">
        <f t="shared" si="1"/>
        <v>1310784</v>
      </c>
      <c r="AE28" s="25">
        <f t="shared" si="2"/>
        <v>311266.58999999997</v>
      </c>
      <c r="AF28" s="25">
        <v>0</v>
      </c>
      <c r="AG28" s="28">
        <f t="shared" si="9"/>
        <v>311266.58999999997</v>
      </c>
      <c r="AH28" s="26">
        <f t="shared" si="10"/>
        <v>6284600.46</v>
      </c>
      <c r="AI28" s="27">
        <v>0</v>
      </c>
      <c r="AJ28" s="25">
        <v>1554183.29</v>
      </c>
      <c r="AK28" s="32">
        <v>436928</v>
      </c>
      <c r="AL28" s="27">
        <v>103755.53</v>
      </c>
      <c r="AM28" s="25">
        <v>0</v>
      </c>
      <c r="AN28" s="28">
        <f t="shared" si="11"/>
        <v>103755.53</v>
      </c>
      <c r="AO28" s="32">
        <f t="shared" si="12"/>
        <v>2094866.82</v>
      </c>
      <c r="AP28" s="27">
        <v>0</v>
      </c>
      <c r="AQ28" s="25">
        <v>1554183.29</v>
      </c>
      <c r="AR28" s="32">
        <v>436928</v>
      </c>
      <c r="AS28" s="27">
        <v>103755.53</v>
      </c>
      <c r="AT28" s="25">
        <v>0</v>
      </c>
      <c r="AU28" s="25">
        <f t="shared" si="13"/>
        <v>103755.53</v>
      </c>
      <c r="AV28" s="25">
        <f t="shared" si="14"/>
        <v>2094866.82</v>
      </c>
      <c r="AW28" s="25">
        <v>0</v>
      </c>
      <c r="AX28" s="25">
        <v>1554183.29</v>
      </c>
      <c r="AY28" s="25">
        <v>436928</v>
      </c>
      <c r="AZ28" s="25">
        <v>103755.53</v>
      </c>
      <c r="BA28" s="25">
        <v>0</v>
      </c>
      <c r="BB28" s="25">
        <f t="shared" si="15"/>
        <v>103755.53</v>
      </c>
      <c r="BC28" s="25">
        <f t="shared" si="16"/>
        <v>2094866.82</v>
      </c>
      <c r="BD28" s="25">
        <v>0</v>
      </c>
      <c r="BE28" s="25">
        <v>1546157.04</v>
      </c>
      <c r="BF28" s="25">
        <v>436928</v>
      </c>
      <c r="BG28" s="25">
        <v>103755.53</v>
      </c>
      <c r="BH28" s="25">
        <f t="shared" si="17"/>
        <v>2086840.57</v>
      </c>
      <c r="BI28" s="29">
        <v>0</v>
      </c>
      <c r="BJ28" s="29">
        <v>1500303.55</v>
      </c>
      <c r="BK28" s="29">
        <v>436928</v>
      </c>
      <c r="BL28" s="29">
        <v>103755.53</v>
      </c>
      <c r="BM28" s="29">
        <f t="shared" si="18"/>
        <v>2040987.08</v>
      </c>
      <c r="BN28" s="30">
        <f t="shared" si="19"/>
        <v>16697028.57</v>
      </c>
    </row>
    <row r="29" spans="1:66" ht="30">
      <c r="A29" s="19">
        <v>33</v>
      </c>
      <c r="B29" s="33" t="s">
        <v>137</v>
      </c>
      <c r="C29" s="33" t="s">
        <v>138</v>
      </c>
      <c r="D29" s="31" t="s">
        <v>139</v>
      </c>
      <c r="E29" s="21">
        <v>4183164</v>
      </c>
      <c r="F29" s="22">
        <v>170038.73</v>
      </c>
      <c r="G29" s="23">
        <v>4936374.03</v>
      </c>
      <c r="H29" s="23">
        <v>0</v>
      </c>
      <c r="I29" s="23">
        <v>0</v>
      </c>
      <c r="J29" s="23">
        <v>477781.64</v>
      </c>
      <c r="K29" s="24">
        <v>172964.36</v>
      </c>
      <c r="L29" s="24">
        <f t="shared" si="3"/>
        <v>650746</v>
      </c>
      <c r="M29" s="24">
        <f t="shared" si="4"/>
        <v>650746</v>
      </c>
      <c r="N29" s="24">
        <f t="shared" si="5"/>
        <v>5587120.0300000003</v>
      </c>
      <c r="O29" s="23">
        <v>4936374.03</v>
      </c>
      <c r="P29" s="23">
        <v>0</v>
      </c>
      <c r="Q29" s="23">
        <v>0</v>
      </c>
      <c r="R29" s="23">
        <v>477781.64</v>
      </c>
      <c r="S29" s="23">
        <v>237925.36</v>
      </c>
      <c r="T29" s="23">
        <f t="shared" si="6"/>
        <v>715707</v>
      </c>
      <c r="U29" s="23">
        <f t="shared" si="7"/>
        <v>5652081.0300000003</v>
      </c>
      <c r="V29" s="16">
        <v>4936374.03</v>
      </c>
      <c r="W29" s="16">
        <v>0</v>
      </c>
      <c r="X29" s="16">
        <v>0</v>
      </c>
      <c r="Y29" s="16">
        <v>477781.64</v>
      </c>
      <c r="Z29" s="16">
        <f t="shared" si="8"/>
        <v>658063</v>
      </c>
      <c r="AA29" s="25">
        <f t="shared" si="0"/>
        <v>5414155.6699999999</v>
      </c>
      <c r="AB29" s="25">
        <f t="shared" si="1"/>
        <v>14809122.09</v>
      </c>
      <c r="AC29" s="32">
        <f t="shared" si="1"/>
        <v>0</v>
      </c>
      <c r="AD29" s="27">
        <f t="shared" si="1"/>
        <v>0</v>
      </c>
      <c r="AE29" s="25">
        <f t="shared" si="2"/>
        <v>1844234.6399999997</v>
      </c>
      <c r="AF29" s="25">
        <v>180281.36</v>
      </c>
      <c r="AG29" s="28">
        <f t="shared" si="9"/>
        <v>2024515.9999999995</v>
      </c>
      <c r="AH29" s="26">
        <f t="shared" si="10"/>
        <v>16833638.09</v>
      </c>
      <c r="AI29" s="27">
        <f>4936374.03+896702.84</f>
        <v>5833076.8700000001</v>
      </c>
      <c r="AJ29" s="25">
        <v>0</v>
      </c>
      <c r="AK29" s="32">
        <v>0</v>
      </c>
      <c r="AL29" s="27">
        <v>477781.64</v>
      </c>
      <c r="AM29" s="25">
        <v>165516.35999999999</v>
      </c>
      <c r="AN29" s="28">
        <f t="shared" si="11"/>
        <v>643298</v>
      </c>
      <c r="AO29" s="32">
        <f t="shared" si="12"/>
        <v>6476374.8700000001</v>
      </c>
      <c r="AP29" s="27">
        <f>4936374.03+896702.84</f>
        <v>5833076.8700000001</v>
      </c>
      <c r="AQ29" s="25">
        <v>0</v>
      </c>
      <c r="AR29" s="32">
        <v>0</v>
      </c>
      <c r="AS29" s="27">
        <v>477781.64</v>
      </c>
      <c r="AT29" s="25">
        <v>201367.36</v>
      </c>
      <c r="AU29" s="25">
        <f t="shared" si="13"/>
        <v>679149</v>
      </c>
      <c r="AV29" s="25">
        <f t="shared" si="14"/>
        <v>6512225.8700000001</v>
      </c>
      <c r="AW29" s="25">
        <v>4936374.03</v>
      </c>
      <c r="AX29" s="25">
        <v>0</v>
      </c>
      <c r="AY29" s="25">
        <v>0</v>
      </c>
      <c r="AZ29" s="25">
        <v>477781.64</v>
      </c>
      <c r="BA29" s="25">
        <v>154780.35999999999</v>
      </c>
      <c r="BB29" s="25">
        <f t="shared" si="15"/>
        <v>632562</v>
      </c>
      <c r="BC29" s="25">
        <f t="shared" si="16"/>
        <v>5568936.0300000003</v>
      </c>
      <c r="BD29" s="25">
        <v>5834606.2999999998</v>
      </c>
      <c r="BE29" s="25">
        <v>0</v>
      </c>
      <c r="BF29" s="25">
        <v>0</v>
      </c>
      <c r="BG29" s="25">
        <v>477781.64</v>
      </c>
      <c r="BH29" s="25">
        <f t="shared" si="17"/>
        <v>6312387.9399999995</v>
      </c>
      <c r="BI29" s="29">
        <v>5834606.2999999998</v>
      </c>
      <c r="BJ29" s="29">
        <v>0</v>
      </c>
      <c r="BK29" s="29">
        <v>0</v>
      </c>
      <c r="BL29" s="29">
        <v>477781.64</v>
      </c>
      <c r="BM29" s="29">
        <f t="shared" si="18"/>
        <v>6312387.9399999995</v>
      </c>
      <c r="BN29" s="30">
        <f t="shared" si="19"/>
        <v>48185989.469999999</v>
      </c>
    </row>
    <row r="30" spans="1:66" ht="30">
      <c r="A30" s="19">
        <v>5</v>
      </c>
      <c r="B30" s="19" t="s">
        <v>140</v>
      </c>
      <c r="C30" s="19" t="s">
        <v>141</v>
      </c>
      <c r="D30" s="31" t="s">
        <v>142</v>
      </c>
      <c r="E30" s="21">
        <v>4943871</v>
      </c>
      <c r="F30" s="22">
        <v>0</v>
      </c>
      <c r="G30" s="23">
        <v>9241383.5099999998</v>
      </c>
      <c r="H30" s="23">
        <f>861480.41-212388.4</f>
        <v>649092.01</v>
      </c>
      <c r="I30" s="23">
        <v>0</v>
      </c>
      <c r="J30" s="23">
        <v>268116.60000000003</v>
      </c>
      <c r="K30" s="24">
        <v>118325.4</v>
      </c>
      <c r="L30" s="24">
        <f t="shared" si="3"/>
        <v>386442</v>
      </c>
      <c r="M30" s="24">
        <f t="shared" si="4"/>
        <v>386442</v>
      </c>
      <c r="N30" s="24">
        <f t="shared" si="5"/>
        <v>10276917.52</v>
      </c>
      <c r="O30" s="23">
        <f>9241383.51+224820.64</f>
        <v>9466204.1500000004</v>
      </c>
      <c r="P30" s="23">
        <v>861480.41</v>
      </c>
      <c r="Q30" s="23">
        <v>0</v>
      </c>
      <c r="R30" s="23">
        <v>268116.60000000003</v>
      </c>
      <c r="S30" s="23">
        <v>141043.4</v>
      </c>
      <c r="T30" s="23">
        <f t="shared" si="6"/>
        <v>409160</v>
      </c>
      <c r="U30" s="23">
        <f t="shared" si="7"/>
        <v>10736844.560000001</v>
      </c>
      <c r="V30" s="16">
        <v>9241383.5099999998</v>
      </c>
      <c r="W30" s="16">
        <v>861480.41</v>
      </c>
      <c r="X30" s="16">
        <v>0</v>
      </c>
      <c r="Y30" s="16">
        <f>268116.6+212388.4</f>
        <v>480505</v>
      </c>
      <c r="Z30" s="16">
        <f t="shared" si="8"/>
        <v>480505</v>
      </c>
      <c r="AA30" s="25">
        <f t="shared" si="0"/>
        <v>10583368.92</v>
      </c>
      <c r="AB30" s="25">
        <f t="shared" si="1"/>
        <v>27948971.170000002</v>
      </c>
      <c r="AC30" s="32">
        <f t="shared" si="1"/>
        <v>2372052.83</v>
      </c>
      <c r="AD30" s="27">
        <f t="shared" si="1"/>
        <v>0</v>
      </c>
      <c r="AE30" s="25">
        <f t="shared" si="2"/>
        <v>1276107</v>
      </c>
      <c r="AF30" s="25">
        <v>0</v>
      </c>
      <c r="AG30" s="28">
        <f t="shared" si="9"/>
        <v>1276107</v>
      </c>
      <c r="AH30" s="26">
        <f t="shared" si="10"/>
        <v>31597131</v>
      </c>
      <c r="AI30" s="27">
        <f>9241383.51+20310.73</f>
        <v>9261694.2400000002</v>
      </c>
      <c r="AJ30" s="25">
        <f>861480.41-12906.07</f>
        <v>848574.34000000008</v>
      </c>
      <c r="AK30" s="32">
        <v>0</v>
      </c>
      <c r="AL30" s="27">
        <v>268116.60000000003</v>
      </c>
      <c r="AM30" s="25">
        <v>200421.4</v>
      </c>
      <c r="AN30" s="28">
        <f t="shared" si="11"/>
        <v>468538</v>
      </c>
      <c r="AO30" s="32">
        <f t="shared" si="12"/>
        <v>10578806.58</v>
      </c>
      <c r="AP30" s="27">
        <f>9261694.24+1434959.72</f>
        <v>10696653.960000001</v>
      </c>
      <c r="AQ30" s="25">
        <v>848574.34</v>
      </c>
      <c r="AR30" s="32">
        <v>0</v>
      </c>
      <c r="AS30" s="27">
        <v>268116.60000000003</v>
      </c>
      <c r="AT30" s="25">
        <v>145334.39999999999</v>
      </c>
      <c r="AU30" s="25">
        <f t="shared" si="13"/>
        <v>413451</v>
      </c>
      <c r="AV30" s="25">
        <f t="shared" si="14"/>
        <v>11958679.300000001</v>
      </c>
      <c r="AW30" s="25">
        <v>9261694.2400000002</v>
      </c>
      <c r="AX30" s="25">
        <f>848574.34-7396</f>
        <v>841178.34</v>
      </c>
      <c r="AY30" s="25">
        <v>0</v>
      </c>
      <c r="AZ30" s="25">
        <f>268116.6+7396</f>
        <v>275512.59999999998</v>
      </c>
      <c r="BA30" s="25">
        <v>135151.4</v>
      </c>
      <c r="BB30" s="25">
        <f t="shared" si="15"/>
        <v>410664</v>
      </c>
      <c r="BC30" s="25">
        <f t="shared" si="16"/>
        <v>10513536.58</v>
      </c>
      <c r="BD30" s="25">
        <v>9258912.7400000002</v>
      </c>
      <c r="BE30" s="25">
        <v>848574.34</v>
      </c>
      <c r="BF30" s="25">
        <v>0</v>
      </c>
      <c r="BG30" s="25">
        <v>268116.59999999998</v>
      </c>
      <c r="BH30" s="25">
        <f t="shared" si="17"/>
        <v>10375603.68</v>
      </c>
      <c r="BI30" s="29">
        <v>9258912.7400000002</v>
      </c>
      <c r="BJ30" s="29">
        <v>848574.34</v>
      </c>
      <c r="BK30" s="29">
        <v>0</v>
      </c>
      <c r="BL30" s="29">
        <v>268116.59999999998</v>
      </c>
      <c r="BM30" s="29">
        <f t="shared" si="18"/>
        <v>10375603.68</v>
      </c>
      <c r="BN30" s="30">
        <f t="shared" si="19"/>
        <v>85399360.819999993</v>
      </c>
    </row>
    <row r="31" spans="1:66" ht="30">
      <c r="A31" s="19">
        <v>16</v>
      </c>
      <c r="B31" s="19" t="s">
        <v>143</v>
      </c>
      <c r="C31" s="19" t="s">
        <v>144</v>
      </c>
      <c r="D31" s="20" t="s">
        <v>145</v>
      </c>
      <c r="E31" s="21">
        <v>7548010</v>
      </c>
      <c r="F31" s="22">
        <v>0</v>
      </c>
      <c r="G31" s="23">
        <v>2568785.8199999998</v>
      </c>
      <c r="H31" s="23">
        <f>87408.99-22658.04</f>
        <v>64750.950000000004</v>
      </c>
      <c r="I31" s="23">
        <v>0</v>
      </c>
      <c r="J31" s="23">
        <v>100369.48</v>
      </c>
      <c r="K31" s="24">
        <v>0</v>
      </c>
      <c r="L31" s="24">
        <f t="shared" si="3"/>
        <v>100369.48</v>
      </c>
      <c r="M31" s="24">
        <f>+J31+K31</f>
        <v>100369.48</v>
      </c>
      <c r="N31" s="24">
        <f t="shared" si="5"/>
        <v>2733906.25</v>
      </c>
      <c r="O31" s="23">
        <f>2568785.82+602554.7</f>
        <v>3171340.5199999996</v>
      </c>
      <c r="P31" s="23">
        <v>87408.99</v>
      </c>
      <c r="Q31" s="23">
        <v>0</v>
      </c>
      <c r="R31" s="23">
        <v>100369.48</v>
      </c>
      <c r="S31" s="23">
        <v>25139.52</v>
      </c>
      <c r="T31" s="23">
        <f t="shared" si="6"/>
        <v>125509</v>
      </c>
      <c r="U31" s="23">
        <f t="shared" si="7"/>
        <v>3384258.51</v>
      </c>
      <c r="V31" s="16">
        <f>2568785.82+602554.7</f>
        <v>3171340.5199999996</v>
      </c>
      <c r="W31" s="16">
        <v>87408.99</v>
      </c>
      <c r="X31" s="16">
        <v>0</v>
      </c>
      <c r="Y31" s="16">
        <f>100369.48+22658.04</f>
        <v>123027.51999999999</v>
      </c>
      <c r="Z31" s="16">
        <f t="shared" si="8"/>
        <v>123027.51999999999</v>
      </c>
      <c r="AA31" s="25">
        <f t="shared" si="0"/>
        <v>3381777.03</v>
      </c>
      <c r="AB31" s="25">
        <f t="shared" si="1"/>
        <v>8911466.8599999994</v>
      </c>
      <c r="AC31" s="26">
        <f t="shared" si="1"/>
        <v>239568.93</v>
      </c>
      <c r="AD31" s="27">
        <f t="shared" si="1"/>
        <v>0</v>
      </c>
      <c r="AE31" s="25">
        <f t="shared" si="2"/>
        <v>348906</v>
      </c>
      <c r="AF31" s="28">
        <v>0</v>
      </c>
      <c r="AG31" s="28">
        <f t="shared" si="9"/>
        <v>348906</v>
      </c>
      <c r="AH31" s="26">
        <f t="shared" si="10"/>
        <v>9499941.7899999991</v>
      </c>
      <c r="AI31" s="27">
        <f>2568785.82+602554.7</f>
        <v>3171340.5199999996</v>
      </c>
      <c r="AJ31" s="25">
        <v>87408.99</v>
      </c>
      <c r="AK31" s="26">
        <v>0</v>
      </c>
      <c r="AL31" s="27">
        <v>100369.48</v>
      </c>
      <c r="AM31" s="25">
        <v>16711.52</v>
      </c>
      <c r="AN31" s="28">
        <f t="shared" si="11"/>
        <v>117081</v>
      </c>
      <c r="AO31" s="26">
        <f t="shared" si="12"/>
        <v>3375830.51</v>
      </c>
      <c r="AP31" s="27">
        <f>2568785.82+602554.7</f>
        <v>3171340.5199999996</v>
      </c>
      <c r="AQ31" s="25">
        <v>87408.99</v>
      </c>
      <c r="AR31" s="26">
        <v>0</v>
      </c>
      <c r="AS31" s="27">
        <v>100369.48</v>
      </c>
      <c r="AT31" s="25">
        <v>3382.52</v>
      </c>
      <c r="AU31" s="25">
        <f t="shared" si="13"/>
        <v>103752</v>
      </c>
      <c r="AV31" s="25">
        <f t="shared" si="14"/>
        <v>3362501.51</v>
      </c>
      <c r="AW31" s="25">
        <f>2568785.82+317712.31</f>
        <v>2886498.13</v>
      </c>
      <c r="AX31" s="25">
        <v>87408.99</v>
      </c>
      <c r="AY31" s="25">
        <v>0</v>
      </c>
      <c r="AZ31" s="25">
        <v>100369.48</v>
      </c>
      <c r="BA31" s="25">
        <v>0</v>
      </c>
      <c r="BB31" s="25">
        <f t="shared" si="15"/>
        <v>100369.48</v>
      </c>
      <c r="BC31" s="25">
        <f t="shared" si="16"/>
        <v>3074276.6</v>
      </c>
      <c r="BD31" s="25">
        <f>2692189.79+479150.73</f>
        <v>3171340.52</v>
      </c>
      <c r="BE31" s="25">
        <v>87477.33</v>
      </c>
      <c r="BF31" s="25">
        <v>0</v>
      </c>
      <c r="BG31" s="25">
        <v>100369.48</v>
      </c>
      <c r="BH31" s="25">
        <f t="shared" si="17"/>
        <v>3359187.33</v>
      </c>
      <c r="BI31" s="29">
        <v>2692189.79</v>
      </c>
      <c r="BJ31" s="29">
        <v>87477.33</v>
      </c>
      <c r="BK31" s="29">
        <v>0</v>
      </c>
      <c r="BL31" s="29">
        <v>100369.48</v>
      </c>
      <c r="BM31" s="29">
        <f t="shared" si="18"/>
        <v>2880036.6</v>
      </c>
      <c r="BN31" s="30">
        <f t="shared" si="19"/>
        <v>25551774.340000004</v>
      </c>
    </row>
    <row r="32" spans="1:66" ht="30">
      <c r="A32" s="19">
        <v>1</v>
      </c>
      <c r="B32" s="19" t="s">
        <v>146</v>
      </c>
      <c r="C32" s="19" t="s">
        <v>147</v>
      </c>
      <c r="D32" s="34" t="s">
        <v>148</v>
      </c>
      <c r="E32" s="35">
        <v>4316180</v>
      </c>
      <c r="F32" s="22">
        <v>0</v>
      </c>
      <c r="G32" s="23">
        <v>2300441.34</v>
      </c>
      <c r="H32" s="23">
        <f>972193.29-166766.06</f>
        <v>805427.23</v>
      </c>
      <c r="I32" s="23">
        <v>0</v>
      </c>
      <c r="J32" s="23">
        <v>1096131.94</v>
      </c>
      <c r="K32" s="24">
        <v>47338.06</v>
      </c>
      <c r="L32" s="24">
        <f t="shared" si="3"/>
        <v>1143470</v>
      </c>
      <c r="M32" s="24">
        <f>+J32+K32</f>
        <v>1143470</v>
      </c>
      <c r="N32" s="24">
        <f t="shared" si="5"/>
        <v>4249338.5699999994</v>
      </c>
      <c r="O32" s="23">
        <v>2300441.34</v>
      </c>
      <c r="P32" s="23">
        <v>972193.29</v>
      </c>
      <c r="Q32" s="23">
        <v>0</v>
      </c>
      <c r="R32" s="23">
        <v>1096131.94</v>
      </c>
      <c r="S32" s="23">
        <v>100945.06</v>
      </c>
      <c r="T32" s="23">
        <f t="shared" si="6"/>
        <v>1197077</v>
      </c>
      <c r="U32" s="23">
        <f t="shared" si="7"/>
        <v>4469711.63</v>
      </c>
      <c r="V32" s="16">
        <v>2300441.34</v>
      </c>
      <c r="W32" s="16">
        <v>972193.29</v>
      </c>
      <c r="X32" s="16">
        <v>0</v>
      </c>
      <c r="Y32" s="16">
        <f>1096131.94+166766.06</f>
        <v>1262898</v>
      </c>
      <c r="Z32" s="16">
        <f t="shared" si="8"/>
        <v>1262898</v>
      </c>
      <c r="AA32" s="25">
        <f t="shared" si="0"/>
        <v>4535532.63</v>
      </c>
      <c r="AB32" s="25">
        <f t="shared" si="1"/>
        <v>6901324.0199999996</v>
      </c>
      <c r="AC32" s="36">
        <f t="shared" si="1"/>
        <v>2749813.81</v>
      </c>
      <c r="AD32" s="37">
        <f t="shared" si="1"/>
        <v>0</v>
      </c>
      <c r="AE32" s="25">
        <f t="shared" si="2"/>
        <v>3603445</v>
      </c>
      <c r="AF32" s="38">
        <v>0</v>
      </c>
      <c r="AG32" s="28">
        <f t="shared" si="9"/>
        <v>3603445</v>
      </c>
      <c r="AH32" s="26">
        <f t="shared" si="10"/>
        <v>13254582.83</v>
      </c>
      <c r="AI32" s="37">
        <v>2300441.34</v>
      </c>
      <c r="AJ32" s="25">
        <v>972193.29</v>
      </c>
      <c r="AK32" s="36">
        <v>0</v>
      </c>
      <c r="AL32" s="37">
        <v>1096131.94</v>
      </c>
      <c r="AM32" s="25">
        <v>215745.06</v>
      </c>
      <c r="AN32" s="28">
        <f t="shared" si="11"/>
        <v>1311877</v>
      </c>
      <c r="AO32" s="36">
        <f t="shared" si="12"/>
        <v>4584511.63</v>
      </c>
      <c r="AP32" s="37">
        <f>2300441.34+539609.7</f>
        <v>2840051.04</v>
      </c>
      <c r="AQ32" s="25">
        <v>972193.29</v>
      </c>
      <c r="AR32" s="36">
        <v>0</v>
      </c>
      <c r="AS32" s="37">
        <v>1096131.94</v>
      </c>
      <c r="AT32" s="25">
        <v>70773.06</v>
      </c>
      <c r="AU32" s="25">
        <f t="shared" si="13"/>
        <v>1166905</v>
      </c>
      <c r="AV32" s="25">
        <f t="shared" si="14"/>
        <v>4979149.3299999991</v>
      </c>
      <c r="AW32" s="25">
        <v>2300441.34</v>
      </c>
      <c r="AX32" s="25">
        <v>972193.29</v>
      </c>
      <c r="AY32" s="25">
        <v>0</v>
      </c>
      <c r="AZ32" s="25">
        <v>1096131.94</v>
      </c>
      <c r="BA32" s="25">
        <v>0</v>
      </c>
      <c r="BB32" s="25">
        <f t="shared" si="15"/>
        <v>1096131.94</v>
      </c>
      <c r="BC32" s="25">
        <f t="shared" si="16"/>
        <v>4368766.57</v>
      </c>
      <c r="BD32" s="25">
        <v>2414337.35</v>
      </c>
      <c r="BE32" s="25">
        <v>972228.48</v>
      </c>
      <c r="BF32" s="25">
        <v>0</v>
      </c>
      <c r="BG32" s="25">
        <v>1270250.9099999999</v>
      </c>
      <c r="BH32" s="25">
        <f t="shared" si="17"/>
        <v>4656816.74</v>
      </c>
      <c r="BI32" s="29">
        <v>2414337.35</v>
      </c>
      <c r="BJ32" s="29">
        <v>972228.48</v>
      </c>
      <c r="BK32" s="29">
        <v>0</v>
      </c>
      <c r="BL32" s="29">
        <v>1096131.94</v>
      </c>
      <c r="BM32" s="29">
        <f t="shared" si="18"/>
        <v>4482697.7699999996</v>
      </c>
      <c r="BN32" s="30">
        <f t="shared" si="19"/>
        <v>36326524.86999999</v>
      </c>
    </row>
    <row r="33" spans="1:67" ht="30">
      <c r="A33" s="19">
        <v>37</v>
      </c>
      <c r="B33" s="19" t="s">
        <v>149</v>
      </c>
      <c r="C33" s="19" t="s">
        <v>150</v>
      </c>
      <c r="D33" s="31" t="s">
        <v>151</v>
      </c>
      <c r="E33" s="21">
        <v>4283538</v>
      </c>
      <c r="F33" s="22">
        <v>0</v>
      </c>
      <c r="G33" s="23">
        <f>2306812.06-16274.28</f>
        <v>2290537.7800000003</v>
      </c>
      <c r="H33" s="23">
        <v>0</v>
      </c>
      <c r="I33" s="23">
        <v>0</v>
      </c>
      <c r="J33" s="23">
        <v>819799.86</v>
      </c>
      <c r="K33" s="24">
        <v>0</v>
      </c>
      <c r="L33" s="24">
        <f t="shared" si="3"/>
        <v>819799.86</v>
      </c>
      <c r="M33" s="24">
        <f t="shared" si="4"/>
        <v>819799.86</v>
      </c>
      <c r="N33" s="24">
        <f t="shared" si="5"/>
        <v>3110337.64</v>
      </c>
      <c r="O33" s="23">
        <v>2306812.06</v>
      </c>
      <c r="P33" s="23">
        <v>0</v>
      </c>
      <c r="Q33" s="23">
        <v>0</v>
      </c>
      <c r="R33" s="23">
        <v>819799.86</v>
      </c>
      <c r="S33" s="23">
        <v>115369.14</v>
      </c>
      <c r="T33" s="23">
        <f t="shared" si="6"/>
        <v>935169</v>
      </c>
      <c r="U33" s="23">
        <f t="shared" si="7"/>
        <v>3241981.06</v>
      </c>
      <c r="V33" s="16">
        <v>2306812.06</v>
      </c>
      <c r="W33" s="16">
        <v>0</v>
      </c>
      <c r="X33" s="16">
        <v>0</v>
      </c>
      <c r="Y33" s="16">
        <f>819799.86+16274.28</f>
        <v>836074.14</v>
      </c>
      <c r="Z33" s="16">
        <f t="shared" si="8"/>
        <v>836074.14</v>
      </c>
      <c r="AA33" s="25">
        <f t="shared" si="0"/>
        <v>3142886.2</v>
      </c>
      <c r="AB33" s="25">
        <f t="shared" si="1"/>
        <v>6904161.9000000004</v>
      </c>
      <c r="AC33" s="32">
        <f t="shared" si="1"/>
        <v>0</v>
      </c>
      <c r="AD33" s="27">
        <f t="shared" si="1"/>
        <v>0</v>
      </c>
      <c r="AE33" s="25">
        <f t="shared" si="2"/>
        <v>2591043</v>
      </c>
      <c r="AF33" s="25">
        <v>0</v>
      </c>
      <c r="AG33" s="28">
        <f t="shared" si="9"/>
        <v>2591043</v>
      </c>
      <c r="AH33" s="26">
        <f t="shared" si="10"/>
        <v>9495204.9000000004</v>
      </c>
      <c r="AI33" s="27">
        <f>2306812.06+225171.6</f>
        <v>2531983.66</v>
      </c>
      <c r="AJ33" s="25">
        <v>0</v>
      </c>
      <c r="AK33" s="32">
        <v>0</v>
      </c>
      <c r="AL33" s="27">
        <v>819799.86</v>
      </c>
      <c r="AM33" s="25">
        <v>85474.14</v>
      </c>
      <c r="AN33" s="28">
        <f t="shared" si="11"/>
        <v>905274</v>
      </c>
      <c r="AO33" s="32">
        <f t="shared" si="12"/>
        <v>3437257.66</v>
      </c>
      <c r="AP33" s="27">
        <v>2306812.06</v>
      </c>
      <c r="AQ33" s="25">
        <v>0</v>
      </c>
      <c r="AR33" s="32">
        <v>0</v>
      </c>
      <c r="AS33" s="27">
        <v>819799.86</v>
      </c>
      <c r="AT33" s="25">
        <v>0</v>
      </c>
      <c r="AU33" s="25">
        <f t="shared" si="13"/>
        <v>819799.86</v>
      </c>
      <c r="AV33" s="25">
        <f t="shared" si="14"/>
        <v>3126611.92</v>
      </c>
      <c r="AW33" s="25">
        <v>2306812.06</v>
      </c>
      <c r="AX33" s="25">
        <v>0</v>
      </c>
      <c r="AY33" s="25">
        <v>0</v>
      </c>
      <c r="AZ33" s="25">
        <v>819799.86</v>
      </c>
      <c r="BA33" s="25">
        <v>0</v>
      </c>
      <c r="BB33" s="25">
        <f t="shared" si="15"/>
        <v>819799.86</v>
      </c>
      <c r="BC33" s="25">
        <f t="shared" si="16"/>
        <v>3126611.92</v>
      </c>
      <c r="BD33" s="25">
        <v>2589213.79</v>
      </c>
      <c r="BE33" s="25">
        <v>0</v>
      </c>
      <c r="BF33" s="25">
        <v>0</v>
      </c>
      <c r="BG33" s="25">
        <v>819799.86</v>
      </c>
      <c r="BH33" s="25">
        <f t="shared" si="17"/>
        <v>3409013.65</v>
      </c>
      <c r="BI33" s="29">
        <v>2589213.79</v>
      </c>
      <c r="BJ33" s="29">
        <v>0</v>
      </c>
      <c r="BK33" s="29">
        <v>0</v>
      </c>
      <c r="BL33" s="29">
        <v>819799.86</v>
      </c>
      <c r="BM33" s="29">
        <f t="shared" si="18"/>
        <v>3409013.65</v>
      </c>
      <c r="BN33" s="30">
        <f t="shared" si="19"/>
        <v>26003713.699999996</v>
      </c>
    </row>
    <row r="34" spans="1:67" ht="45">
      <c r="A34" s="19">
        <v>12</v>
      </c>
      <c r="B34" s="19" t="s">
        <v>152</v>
      </c>
      <c r="C34" s="19" t="s">
        <v>153</v>
      </c>
      <c r="D34" s="20" t="s">
        <v>154</v>
      </c>
      <c r="E34" s="21">
        <v>4316210</v>
      </c>
      <c r="F34" s="22">
        <v>0</v>
      </c>
      <c r="G34" s="23">
        <v>2723769.33</v>
      </c>
      <c r="H34" s="23">
        <f>553886.81-40759.08</f>
        <v>513127.73000000004</v>
      </c>
      <c r="I34" s="23">
        <v>0</v>
      </c>
      <c r="J34" s="23">
        <v>373995.96</v>
      </c>
      <c r="K34" s="24">
        <v>0</v>
      </c>
      <c r="L34" s="24">
        <f t="shared" si="3"/>
        <v>373995.96</v>
      </c>
      <c r="M34" s="24">
        <f t="shared" si="4"/>
        <v>373995.96</v>
      </c>
      <c r="N34" s="24">
        <f t="shared" si="5"/>
        <v>3610893.02</v>
      </c>
      <c r="O34" s="23">
        <v>2723769.33</v>
      </c>
      <c r="P34" s="23">
        <v>553886.81000000006</v>
      </c>
      <c r="Q34" s="23">
        <v>0</v>
      </c>
      <c r="R34" s="23">
        <v>373995.96</v>
      </c>
      <c r="S34" s="23">
        <v>45302.04</v>
      </c>
      <c r="T34" s="23">
        <f t="shared" si="6"/>
        <v>419298</v>
      </c>
      <c r="U34" s="23">
        <f t="shared" si="7"/>
        <v>3696954.14</v>
      </c>
      <c r="V34" s="16">
        <v>2723769.33</v>
      </c>
      <c r="W34" s="16">
        <v>553886.81000000006</v>
      </c>
      <c r="X34" s="16">
        <v>0</v>
      </c>
      <c r="Y34" s="16">
        <f>373995.96+40759.08</f>
        <v>414755.04000000004</v>
      </c>
      <c r="Z34" s="16">
        <f t="shared" si="8"/>
        <v>414755.04000000004</v>
      </c>
      <c r="AA34" s="25">
        <f t="shared" si="0"/>
        <v>3692411.18</v>
      </c>
      <c r="AB34" s="25">
        <f t="shared" si="1"/>
        <v>8171307.9900000002</v>
      </c>
      <c r="AC34" s="26">
        <f t="shared" si="1"/>
        <v>1620901.35</v>
      </c>
      <c r="AD34" s="27">
        <f t="shared" si="1"/>
        <v>0</v>
      </c>
      <c r="AE34" s="25">
        <f t="shared" si="2"/>
        <v>1208049</v>
      </c>
      <c r="AF34" s="28">
        <v>0</v>
      </c>
      <c r="AG34" s="28">
        <f t="shared" si="9"/>
        <v>1208049</v>
      </c>
      <c r="AH34" s="26">
        <f t="shared" si="10"/>
        <v>11000258.34</v>
      </c>
      <c r="AI34" s="27">
        <v>2723769.33</v>
      </c>
      <c r="AJ34" s="25">
        <v>553886.81000000006</v>
      </c>
      <c r="AK34" s="26">
        <v>0</v>
      </c>
      <c r="AL34" s="27">
        <v>373995.96</v>
      </c>
      <c r="AM34" s="25">
        <v>156535.04000000001</v>
      </c>
      <c r="AN34" s="28">
        <f t="shared" si="11"/>
        <v>530531</v>
      </c>
      <c r="AO34" s="26">
        <f t="shared" si="12"/>
        <v>3808187.14</v>
      </c>
      <c r="AP34" s="27">
        <v>2723769.33</v>
      </c>
      <c r="AQ34" s="25">
        <v>553886.81000000006</v>
      </c>
      <c r="AR34" s="26">
        <v>0</v>
      </c>
      <c r="AS34" s="27">
        <v>373995.96</v>
      </c>
      <c r="AT34" s="25">
        <v>98099.04</v>
      </c>
      <c r="AU34" s="25">
        <f t="shared" si="13"/>
        <v>472095</v>
      </c>
      <c r="AV34" s="25">
        <f t="shared" si="14"/>
        <v>3749751.14</v>
      </c>
      <c r="AW34" s="25">
        <v>2723769.33</v>
      </c>
      <c r="AX34" s="25">
        <v>553886.81000000006</v>
      </c>
      <c r="AY34" s="25">
        <v>0</v>
      </c>
      <c r="AZ34" s="25">
        <v>373995.96</v>
      </c>
      <c r="BA34" s="25">
        <v>61019.040000000001</v>
      </c>
      <c r="BB34" s="25">
        <f t="shared" si="15"/>
        <v>435015</v>
      </c>
      <c r="BC34" s="25">
        <f t="shared" si="16"/>
        <v>3712671.14</v>
      </c>
      <c r="BD34" s="25">
        <v>3106941.22</v>
      </c>
      <c r="BE34" s="25">
        <v>553902.74</v>
      </c>
      <c r="BF34" s="25">
        <v>0</v>
      </c>
      <c r="BG34" s="25">
        <v>373995.96</v>
      </c>
      <c r="BH34" s="25">
        <f t="shared" si="17"/>
        <v>4034839.92</v>
      </c>
      <c r="BI34" s="29">
        <v>3106941.22</v>
      </c>
      <c r="BJ34" s="29">
        <v>553902.74</v>
      </c>
      <c r="BK34" s="29">
        <v>0</v>
      </c>
      <c r="BL34" s="29">
        <v>373995.96</v>
      </c>
      <c r="BM34" s="29">
        <f t="shared" si="18"/>
        <v>4034839.92</v>
      </c>
      <c r="BN34" s="30">
        <f t="shared" si="19"/>
        <v>30340547.600000001</v>
      </c>
    </row>
    <row r="35" spans="1:67" ht="30">
      <c r="A35" s="19">
        <v>14</v>
      </c>
      <c r="B35" s="19" t="s">
        <v>155</v>
      </c>
      <c r="C35" s="19" t="s">
        <v>156</v>
      </c>
      <c r="D35" s="20" t="s">
        <v>157</v>
      </c>
      <c r="E35" s="21">
        <v>4283570</v>
      </c>
      <c r="F35" s="22">
        <v>170561.07</v>
      </c>
      <c r="G35" s="23">
        <v>16476278.34</v>
      </c>
      <c r="H35" s="23">
        <v>382978.03</v>
      </c>
      <c r="I35" s="23">
        <v>0</v>
      </c>
      <c r="J35" s="23">
        <v>2397332</v>
      </c>
      <c r="K35" s="24">
        <v>310563</v>
      </c>
      <c r="L35" s="24">
        <f t="shared" si="3"/>
        <v>2707895</v>
      </c>
      <c r="M35" s="24">
        <f t="shared" si="4"/>
        <v>2707895</v>
      </c>
      <c r="N35" s="24">
        <f t="shared" si="5"/>
        <v>19567151.370000001</v>
      </c>
      <c r="O35" s="23">
        <f>16476278.34+1441308</f>
        <v>17917586.34</v>
      </c>
      <c r="P35" s="23">
        <v>382978.03</v>
      </c>
      <c r="Q35" s="23">
        <v>0</v>
      </c>
      <c r="R35" s="23">
        <v>2397332</v>
      </c>
      <c r="S35" s="23">
        <v>422729</v>
      </c>
      <c r="T35" s="23">
        <f t="shared" si="6"/>
        <v>2820061</v>
      </c>
      <c r="U35" s="23">
        <f t="shared" si="7"/>
        <v>21120625.370000001</v>
      </c>
      <c r="V35" s="16">
        <f>16476278.34+2525135.71</f>
        <v>19001414.050000001</v>
      </c>
      <c r="W35" s="16">
        <v>382978.03</v>
      </c>
      <c r="X35" s="16">
        <v>0</v>
      </c>
      <c r="Y35" s="16">
        <v>2397332</v>
      </c>
      <c r="Z35" s="16">
        <f t="shared" si="8"/>
        <v>2898271</v>
      </c>
      <c r="AA35" s="25">
        <f t="shared" si="0"/>
        <v>21781724.080000002</v>
      </c>
      <c r="AB35" s="25">
        <f t="shared" ref="AB35:AD66" si="20">+G35+O35+V35</f>
        <v>53395278.730000004</v>
      </c>
      <c r="AC35" s="26">
        <f t="shared" si="20"/>
        <v>1148934.0900000001</v>
      </c>
      <c r="AD35" s="27">
        <f t="shared" si="20"/>
        <v>0</v>
      </c>
      <c r="AE35" s="25">
        <f t="shared" si="2"/>
        <v>7925288</v>
      </c>
      <c r="AF35" s="28">
        <v>500939</v>
      </c>
      <c r="AG35" s="28">
        <f t="shared" si="9"/>
        <v>8426227</v>
      </c>
      <c r="AH35" s="26">
        <f t="shared" si="10"/>
        <v>62970439.820000008</v>
      </c>
      <c r="AI35" s="27">
        <f>16476278.34+2597642.61</f>
        <v>19073920.949999999</v>
      </c>
      <c r="AJ35" s="25">
        <v>382978.03</v>
      </c>
      <c r="AK35" s="26">
        <v>0</v>
      </c>
      <c r="AL35" s="27">
        <v>2397332</v>
      </c>
      <c r="AM35" s="25">
        <v>671622</v>
      </c>
      <c r="AN35" s="28">
        <f t="shared" si="11"/>
        <v>3068954</v>
      </c>
      <c r="AO35" s="26">
        <f t="shared" si="12"/>
        <v>22525852.98</v>
      </c>
      <c r="AP35" s="27">
        <f>16476278.34+2907578.53</f>
        <v>19383856.870000001</v>
      </c>
      <c r="AQ35" s="25">
        <v>382978.03</v>
      </c>
      <c r="AR35" s="26">
        <v>0</v>
      </c>
      <c r="AS35" s="27">
        <v>2397332</v>
      </c>
      <c r="AT35" s="25">
        <v>324765</v>
      </c>
      <c r="AU35" s="25">
        <f t="shared" si="13"/>
        <v>2722097</v>
      </c>
      <c r="AV35" s="25">
        <f t="shared" si="14"/>
        <v>22488931.900000002</v>
      </c>
      <c r="AW35" s="25">
        <f>16316159.02+1617521.84</f>
        <v>17933680.859999999</v>
      </c>
      <c r="AX35" s="25">
        <v>382978.03</v>
      </c>
      <c r="AY35" s="25">
        <v>0</v>
      </c>
      <c r="AZ35" s="25">
        <v>2397332</v>
      </c>
      <c r="BA35" s="25">
        <v>108040</v>
      </c>
      <c r="BB35" s="25">
        <f t="shared" si="15"/>
        <v>2505372</v>
      </c>
      <c r="BC35" s="25">
        <f t="shared" si="16"/>
        <v>20822030.890000001</v>
      </c>
      <c r="BD35" s="25">
        <f>15935744.92+3448111.95</f>
        <v>19383856.870000001</v>
      </c>
      <c r="BE35" s="25">
        <v>383046.64</v>
      </c>
      <c r="BF35" s="25">
        <v>0</v>
      </c>
      <c r="BG35" s="25">
        <v>2397332</v>
      </c>
      <c r="BH35" s="25">
        <f t="shared" si="17"/>
        <v>22164235.510000002</v>
      </c>
      <c r="BI35" s="29">
        <v>16092131.029999999</v>
      </c>
      <c r="BJ35" s="29">
        <v>382703.57</v>
      </c>
      <c r="BK35" s="29">
        <v>0</v>
      </c>
      <c r="BL35" s="29">
        <v>2397332</v>
      </c>
      <c r="BM35" s="29">
        <f t="shared" si="18"/>
        <v>18872166.600000001</v>
      </c>
      <c r="BN35" s="30">
        <f t="shared" si="19"/>
        <v>170014218.77000001</v>
      </c>
      <c r="BO35" s="5"/>
    </row>
    <row r="36" spans="1:67" ht="30">
      <c r="A36" s="19">
        <v>25</v>
      </c>
      <c r="B36" s="19" t="s">
        <v>158</v>
      </c>
      <c r="C36" s="19" t="s">
        <v>159</v>
      </c>
      <c r="D36" s="31" t="s">
        <v>160</v>
      </c>
      <c r="E36" s="21">
        <v>4267265</v>
      </c>
      <c r="F36" s="22">
        <v>0</v>
      </c>
      <c r="G36" s="23">
        <v>408955.99</v>
      </c>
      <c r="H36" s="23">
        <v>0</v>
      </c>
      <c r="I36" s="23">
        <v>0</v>
      </c>
      <c r="J36" s="23">
        <v>298715.53000000003</v>
      </c>
      <c r="K36" s="24">
        <v>0</v>
      </c>
      <c r="L36" s="24">
        <f t="shared" si="3"/>
        <v>298715.53000000003</v>
      </c>
      <c r="M36" s="24">
        <f t="shared" si="4"/>
        <v>298715.53000000003</v>
      </c>
      <c r="N36" s="24">
        <f t="shared" si="5"/>
        <v>707671.52</v>
      </c>
      <c r="O36" s="23">
        <v>408955.99</v>
      </c>
      <c r="P36" s="23">
        <v>0</v>
      </c>
      <c r="Q36" s="23">
        <v>0</v>
      </c>
      <c r="R36" s="23">
        <v>298715.53000000003</v>
      </c>
      <c r="S36" s="23">
        <v>0</v>
      </c>
      <c r="T36" s="23">
        <f t="shared" si="6"/>
        <v>298715.53000000003</v>
      </c>
      <c r="U36" s="23">
        <f t="shared" si="7"/>
        <v>707671.52</v>
      </c>
      <c r="V36" s="16">
        <v>408955.99</v>
      </c>
      <c r="W36" s="16">
        <v>0</v>
      </c>
      <c r="X36" s="16">
        <v>0</v>
      </c>
      <c r="Y36" s="16">
        <v>298715.53000000003</v>
      </c>
      <c r="Z36" s="16">
        <f t="shared" si="8"/>
        <v>298715.53000000003</v>
      </c>
      <c r="AA36" s="25">
        <f t="shared" si="0"/>
        <v>707671.52</v>
      </c>
      <c r="AB36" s="25">
        <f t="shared" si="20"/>
        <v>1226867.97</v>
      </c>
      <c r="AC36" s="32">
        <f t="shared" si="20"/>
        <v>0</v>
      </c>
      <c r="AD36" s="27">
        <f t="shared" si="20"/>
        <v>0</v>
      </c>
      <c r="AE36" s="25">
        <f t="shared" si="2"/>
        <v>896146.59000000008</v>
      </c>
      <c r="AF36" s="25">
        <v>0</v>
      </c>
      <c r="AG36" s="28">
        <f t="shared" si="9"/>
        <v>896146.59000000008</v>
      </c>
      <c r="AH36" s="26">
        <f t="shared" si="10"/>
        <v>2123014.56</v>
      </c>
      <c r="AI36" s="27">
        <v>408955.99</v>
      </c>
      <c r="AJ36" s="25">
        <v>0</v>
      </c>
      <c r="AK36" s="32">
        <v>0</v>
      </c>
      <c r="AL36" s="27">
        <v>298715.53000000003</v>
      </c>
      <c r="AM36" s="25">
        <v>0</v>
      </c>
      <c r="AN36" s="28">
        <f t="shared" si="11"/>
        <v>298715.53000000003</v>
      </c>
      <c r="AO36" s="32">
        <f t="shared" si="12"/>
        <v>707671.52</v>
      </c>
      <c r="AP36" s="27">
        <v>408955.99</v>
      </c>
      <c r="AQ36" s="25">
        <v>0</v>
      </c>
      <c r="AR36" s="32">
        <v>0</v>
      </c>
      <c r="AS36" s="27">
        <v>298715.53000000003</v>
      </c>
      <c r="AT36" s="25">
        <v>0</v>
      </c>
      <c r="AU36" s="25">
        <f t="shared" si="13"/>
        <v>298715.53000000003</v>
      </c>
      <c r="AV36" s="25">
        <f t="shared" si="14"/>
        <v>707671.52</v>
      </c>
      <c r="AW36" s="25">
        <v>408955.99</v>
      </c>
      <c r="AX36" s="25">
        <v>0</v>
      </c>
      <c r="AY36" s="25">
        <v>0</v>
      </c>
      <c r="AZ36" s="25">
        <v>298715.53000000003</v>
      </c>
      <c r="BA36" s="25">
        <v>0</v>
      </c>
      <c r="BB36" s="25">
        <f t="shared" si="15"/>
        <v>298715.53000000003</v>
      </c>
      <c r="BC36" s="25">
        <f t="shared" si="16"/>
        <v>707671.52</v>
      </c>
      <c r="BD36" s="25">
        <v>402745.61</v>
      </c>
      <c r="BE36" s="25">
        <v>0</v>
      </c>
      <c r="BF36" s="25">
        <v>0</v>
      </c>
      <c r="BG36" s="25">
        <v>298715.53000000003</v>
      </c>
      <c r="BH36" s="25">
        <f t="shared" si="17"/>
        <v>701461.14</v>
      </c>
      <c r="BI36" s="29">
        <v>402745.61</v>
      </c>
      <c r="BJ36" s="29">
        <v>0</v>
      </c>
      <c r="BK36" s="29">
        <v>0</v>
      </c>
      <c r="BL36" s="29">
        <v>298715.53000000003</v>
      </c>
      <c r="BM36" s="29">
        <f t="shared" si="18"/>
        <v>701461.14</v>
      </c>
      <c r="BN36" s="30">
        <f t="shared" si="19"/>
        <v>5648951.3999999994</v>
      </c>
    </row>
    <row r="37" spans="1:67" ht="14.25" customHeight="1">
      <c r="A37" s="19">
        <v>13</v>
      </c>
      <c r="B37" s="19" t="s">
        <v>161</v>
      </c>
      <c r="C37" s="19" t="s">
        <v>162</v>
      </c>
      <c r="D37" s="39" t="s">
        <v>163</v>
      </c>
      <c r="E37" s="21">
        <v>4316295</v>
      </c>
      <c r="F37" s="22">
        <v>0</v>
      </c>
      <c r="G37" s="23">
        <v>3018796.16</v>
      </c>
      <c r="H37" s="23">
        <v>473011.88</v>
      </c>
      <c r="I37" s="23">
        <v>0</v>
      </c>
      <c r="J37" s="23">
        <v>432013.45999999996</v>
      </c>
      <c r="K37" s="24">
        <v>0</v>
      </c>
      <c r="L37" s="24">
        <f t="shared" si="3"/>
        <v>432013.45999999996</v>
      </c>
      <c r="M37" s="24">
        <f t="shared" si="4"/>
        <v>432013.45999999996</v>
      </c>
      <c r="N37" s="24">
        <f t="shared" si="5"/>
        <v>3923821.5</v>
      </c>
      <c r="O37" s="23">
        <v>3018796.16</v>
      </c>
      <c r="P37" s="23">
        <v>473011.88</v>
      </c>
      <c r="Q37" s="23">
        <v>0</v>
      </c>
      <c r="R37" s="23">
        <v>432013.45999999996</v>
      </c>
      <c r="S37" s="23">
        <v>0</v>
      </c>
      <c r="T37" s="23">
        <f t="shared" si="6"/>
        <v>432013.45999999996</v>
      </c>
      <c r="U37" s="23">
        <f t="shared" si="7"/>
        <v>3923821.5</v>
      </c>
      <c r="V37" s="16">
        <v>3018796.16</v>
      </c>
      <c r="W37" s="16">
        <v>473011.88</v>
      </c>
      <c r="X37" s="16">
        <v>0</v>
      </c>
      <c r="Y37" s="16">
        <v>432013.45999999996</v>
      </c>
      <c r="Z37" s="16">
        <f t="shared" si="8"/>
        <v>432013.45999999996</v>
      </c>
      <c r="AA37" s="25">
        <f t="shared" si="0"/>
        <v>3923821.5</v>
      </c>
      <c r="AB37" s="25">
        <f t="shared" si="20"/>
        <v>9056388.4800000004</v>
      </c>
      <c r="AC37" s="40">
        <f t="shared" si="20"/>
        <v>1419035.6400000001</v>
      </c>
      <c r="AD37" s="27">
        <f t="shared" si="20"/>
        <v>0</v>
      </c>
      <c r="AE37" s="25">
        <f t="shared" si="2"/>
        <v>1296040.3799999999</v>
      </c>
      <c r="AF37" s="41">
        <v>0</v>
      </c>
      <c r="AG37" s="28">
        <f t="shared" si="9"/>
        <v>1296040.3799999999</v>
      </c>
      <c r="AH37" s="26">
        <f t="shared" si="10"/>
        <v>11771464.5</v>
      </c>
      <c r="AI37" s="27">
        <v>3018796.16</v>
      </c>
      <c r="AJ37" s="25">
        <v>473011.88</v>
      </c>
      <c r="AK37" s="40">
        <v>0</v>
      </c>
      <c r="AL37" s="27">
        <v>432013.45999999996</v>
      </c>
      <c r="AM37" s="25">
        <v>0</v>
      </c>
      <c r="AN37" s="28">
        <f t="shared" si="11"/>
        <v>432013.45999999996</v>
      </c>
      <c r="AO37" s="40">
        <f t="shared" si="12"/>
        <v>3923821.5</v>
      </c>
      <c r="AP37" s="27">
        <v>3018796.16</v>
      </c>
      <c r="AQ37" s="25">
        <v>473011.88</v>
      </c>
      <c r="AR37" s="40">
        <v>0</v>
      </c>
      <c r="AS37" s="27">
        <v>432013.45999999996</v>
      </c>
      <c r="AT37" s="25">
        <v>0</v>
      </c>
      <c r="AU37" s="25">
        <f t="shared" si="13"/>
        <v>432013.45999999996</v>
      </c>
      <c r="AV37" s="25">
        <f t="shared" si="14"/>
        <v>3923821.5</v>
      </c>
      <c r="AW37" s="25">
        <v>3018796.16</v>
      </c>
      <c r="AX37" s="25">
        <v>473011.88</v>
      </c>
      <c r="AY37" s="25">
        <v>0</v>
      </c>
      <c r="AZ37" s="25">
        <v>432013.46</v>
      </c>
      <c r="BA37" s="25">
        <v>0</v>
      </c>
      <c r="BB37" s="25">
        <f t="shared" si="15"/>
        <v>432013.46</v>
      </c>
      <c r="BC37" s="25">
        <f t="shared" si="16"/>
        <v>3923821.5</v>
      </c>
      <c r="BD37" s="25">
        <v>2876011.36</v>
      </c>
      <c r="BE37" s="25">
        <v>473011.88</v>
      </c>
      <c r="BF37" s="25">
        <v>0</v>
      </c>
      <c r="BG37" s="25">
        <v>432013.46</v>
      </c>
      <c r="BH37" s="25">
        <f t="shared" si="17"/>
        <v>3781036.6999999997</v>
      </c>
      <c r="BI37" s="29">
        <v>2876011.36</v>
      </c>
      <c r="BJ37" s="29">
        <v>473011.88</v>
      </c>
      <c r="BK37" s="29">
        <v>0</v>
      </c>
      <c r="BL37" s="29">
        <v>432013.46</v>
      </c>
      <c r="BM37" s="29">
        <f t="shared" si="18"/>
        <v>3781036.6999999997</v>
      </c>
      <c r="BN37" s="30">
        <f t="shared" si="19"/>
        <v>31105002.399999999</v>
      </c>
    </row>
    <row r="38" spans="1:67" ht="31.5" customHeight="1">
      <c r="A38" s="19">
        <v>20</v>
      </c>
      <c r="B38" s="19" t="s">
        <v>164</v>
      </c>
      <c r="C38" s="19" t="s">
        <v>165</v>
      </c>
      <c r="D38" s="39" t="s">
        <v>166</v>
      </c>
      <c r="E38" s="21">
        <v>4266049</v>
      </c>
      <c r="F38" s="22">
        <v>0</v>
      </c>
      <c r="G38" s="23">
        <v>4076713.63</v>
      </c>
      <c r="H38" s="23">
        <v>295904.36</v>
      </c>
      <c r="I38" s="23">
        <v>0</v>
      </c>
      <c r="J38" s="23">
        <v>1067656.49</v>
      </c>
      <c r="K38" s="24">
        <v>0</v>
      </c>
      <c r="L38" s="24">
        <f t="shared" si="3"/>
        <v>1067656.49</v>
      </c>
      <c r="M38" s="24">
        <f>+J38+K38</f>
        <v>1067656.49</v>
      </c>
      <c r="N38" s="24">
        <f t="shared" si="5"/>
        <v>5440274.4800000004</v>
      </c>
      <c r="O38" s="23">
        <v>4076713.63</v>
      </c>
      <c r="P38" s="23">
        <v>295904.36</v>
      </c>
      <c r="Q38" s="23">
        <v>0</v>
      </c>
      <c r="R38" s="23">
        <v>1067656.49</v>
      </c>
      <c r="S38" s="23">
        <v>67653.509999999995</v>
      </c>
      <c r="T38" s="23">
        <f t="shared" si="6"/>
        <v>1135310</v>
      </c>
      <c r="U38" s="23">
        <f t="shared" si="7"/>
        <v>5507927.9900000002</v>
      </c>
      <c r="V38" s="16">
        <f>4076713.63+363916.09</f>
        <v>4440629.72</v>
      </c>
      <c r="W38" s="16">
        <v>295904.36</v>
      </c>
      <c r="X38" s="16">
        <v>0</v>
      </c>
      <c r="Y38" s="16">
        <v>1067656.49</v>
      </c>
      <c r="Z38" s="16">
        <f t="shared" si="8"/>
        <v>1067656.49</v>
      </c>
      <c r="AA38" s="25">
        <f t="shared" si="0"/>
        <v>5804190.5700000003</v>
      </c>
      <c r="AB38" s="25">
        <f t="shared" si="20"/>
        <v>12594056.98</v>
      </c>
      <c r="AC38" s="40">
        <f t="shared" si="20"/>
        <v>887713.08</v>
      </c>
      <c r="AD38" s="27">
        <f t="shared" si="20"/>
        <v>0</v>
      </c>
      <c r="AE38" s="25">
        <f t="shared" si="2"/>
        <v>3270622.9799999995</v>
      </c>
      <c r="AF38" s="41">
        <v>0</v>
      </c>
      <c r="AG38" s="28">
        <f t="shared" si="9"/>
        <v>3270622.9799999995</v>
      </c>
      <c r="AH38" s="26">
        <f t="shared" si="10"/>
        <v>16752393.039999999</v>
      </c>
      <c r="AI38" s="27">
        <f>4076713.63+100321.81</f>
        <v>4177035.44</v>
      </c>
      <c r="AJ38" s="25">
        <f>295904.36-69889.36</f>
        <v>226015</v>
      </c>
      <c r="AK38" s="40">
        <v>0</v>
      </c>
      <c r="AL38" s="27">
        <v>1067656.49</v>
      </c>
      <c r="AM38" s="25">
        <v>186336.51</v>
      </c>
      <c r="AN38" s="28">
        <f t="shared" si="11"/>
        <v>1253993</v>
      </c>
      <c r="AO38" s="40">
        <f t="shared" si="12"/>
        <v>5657043.4399999995</v>
      </c>
      <c r="AP38" s="27">
        <v>4177035.44</v>
      </c>
      <c r="AQ38" s="25">
        <v>226015</v>
      </c>
      <c r="AR38" s="40">
        <v>0</v>
      </c>
      <c r="AS38" s="27">
        <v>1067656.49</v>
      </c>
      <c r="AT38" s="25">
        <v>0</v>
      </c>
      <c r="AU38" s="25">
        <f t="shared" si="13"/>
        <v>1067656.49</v>
      </c>
      <c r="AV38" s="25">
        <f t="shared" si="14"/>
        <v>5470706.9299999997</v>
      </c>
      <c r="AW38" s="25">
        <v>4177035.44</v>
      </c>
      <c r="AX38" s="25">
        <v>226015</v>
      </c>
      <c r="AY38" s="25">
        <v>0</v>
      </c>
      <c r="AZ38" s="25">
        <v>1067656.49</v>
      </c>
      <c r="BA38" s="25">
        <v>0</v>
      </c>
      <c r="BB38" s="25">
        <f t="shared" si="15"/>
        <v>1067656.49</v>
      </c>
      <c r="BC38" s="25">
        <f t="shared" si="16"/>
        <v>5470706.9299999997</v>
      </c>
      <c r="BD38" s="25">
        <v>4415840.51</v>
      </c>
      <c r="BE38" s="25">
        <v>225995.19</v>
      </c>
      <c r="BF38" s="25">
        <v>0</v>
      </c>
      <c r="BG38" s="25">
        <v>1067656.49</v>
      </c>
      <c r="BH38" s="25">
        <f t="shared" si="17"/>
        <v>5709492.1900000004</v>
      </c>
      <c r="BI38" s="29">
        <v>4415840.51</v>
      </c>
      <c r="BJ38" s="29">
        <v>225995.19</v>
      </c>
      <c r="BK38" s="29">
        <v>0</v>
      </c>
      <c r="BL38" s="29">
        <v>1067656.49</v>
      </c>
      <c r="BM38" s="29">
        <f t="shared" si="18"/>
        <v>5709492.1900000004</v>
      </c>
      <c r="BN38" s="30">
        <f t="shared" si="19"/>
        <v>44769834.719999999</v>
      </c>
    </row>
    <row r="39" spans="1:67" ht="30">
      <c r="A39" s="19">
        <v>18</v>
      </c>
      <c r="B39" s="19" t="s">
        <v>167</v>
      </c>
      <c r="C39" s="19" t="s">
        <v>168</v>
      </c>
      <c r="D39" s="20" t="s">
        <v>169</v>
      </c>
      <c r="E39" s="21">
        <v>4266162</v>
      </c>
      <c r="F39" s="22">
        <v>0</v>
      </c>
      <c r="G39" s="23">
        <f>6061275.32-53144.01</f>
        <v>6008131.3100000005</v>
      </c>
      <c r="H39" s="23">
        <v>792378.8</v>
      </c>
      <c r="I39" s="23">
        <v>0</v>
      </c>
      <c r="J39" s="23">
        <v>362751.99</v>
      </c>
      <c r="K39" s="24">
        <v>6226.01</v>
      </c>
      <c r="L39" s="24">
        <f t="shared" si="3"/>
        <v>368978</v>
      </c>
      <c r="M39" s="24">
        <f t="shared" si="4"/>
        <v>368978</v>
      </c>
      <c r="N39" s="24">
        <f t="shared" si="5"/>
        <v>7169488.1100000003</v>
      </c>
      <c r="O39" s="23">
        <v>6061275.3200000003</v>
      </c>
      <c r="P39" s="23">
        <v>792378.8</v>
      </c>
      <c r="Q39" s="23">
        <v>0</v>
      </c>
      <c r="R39" s="23">
        <v>362751.99</v>
      </c>
      <c r="S39" s="23">
        <v>20986.01</v>
      </c>
      <c r="T39" s="23">
        <f t="shared" si="6"/>
        <v>383738</v>
      </c>
      <c r="U39" s="23">
        <f t="shared" si="7"/>
        <v>7237392.1200000001</v>
      </c>
      <c r="V39" s="16">
        <v>6061275.3200000003</v>
      </c>
      <c r="W39" s="16">
        <v>792378.8</v>
      </c>
      <c r="X39" s="16">
        <v>0</v>
      </c>
      <c r="Y39" s="16">
        <f>362751.99+53144.01</f>
        <v>415896</v>
      </c>
      <c r="Z39" s="16">
        <f t="shared" si="8"/>
        <v>415896</v>
      </c>
      <c r="AA39" s="25">
        <f t="shared" si="0"/>
        <v>7269550.1200000001</v>
      </c>
      <c r="AB39" s="25">
        <f t="shared" si="20"/>
        <v>18130681.950000003</v>
      </c>
      <c r="AC39" s="26">
        <f t="shared" si="20"/>
        <v>2377136.4000000004</v>
      </c>
      <c r="AD39" s="27">
        <f t="shared" si="20"/>
        <v>0</v>
      </c>
      <c r="AE39" s="25">
        <f t="shared" si="2"/>
        <v>1168612</v>
      </c>
      <c r="AF39" s="28">
        <v>0</v>
      </c>
      <c r="AG39" s="28">
        <f t="shared" si="9"/>
        <v>1168612</v>
      </c>
      <c r="AH39" s="26">
        <f t="shared" si="10"/>
        <v>21676430.350000001</v>
      </c>
      <c r="AI39" s="27">
        <v>6061275.3200000003</v>
      </c>
      <c r="AJ39" s="25">
        <v>792378.8</v>
      </c>
      <c r="AK39" s="26">
        <v>0</v>
      </c>
      <c r="AL39" s="27">
        <v>362751.99</v>
      </c>
      <c r="AM39" s="25">
        <v>52436.01</v>
      </c>
      <c r="AN39" s="28">
        <f t="shared" si="11"/>
        <v>415188</v>
      </c>
      <c r="AO39" s="26">
        <f t="shared" si="12"/>
        <v>7268842.1200000001</v>
      </c>
      <c r="AP39" s="27">
        <v>6061275.3200000003</v>
      </c>
      <c r="AQ39" s="25">
        <v>792378.8</v>
      </c>
      <c r="AR39" s="26">
        <v>0</v>
      </c>
      <c r="AS39" s="27">
        <v>362751.99</v>
      </c>
      <c r="AT39" s="25">
        <v>0</v>
      </c>
      <c r="AU39" s="25">
        <f t="shared" si="13"/>
        <v>362751.99</v>
      </c>
      <c r="AV39" s="25">
        <f t="shared" si="14"/>
        <v>7216406.1100000003</v>
      </c>
      <c r="AW39" s="25">
        <v>6061275.3200000003</v>
      </c>
      <c r="AX39" s="25">
        <v>792378.8</v>
      </c>
      <c r="AY39" s="25">
        <v>0</v>
      </c>
      <c r="AZ39" s="25">
        <v>362751.99</v>
      </c>
      <c r="BA39" s="25">
        <v>0</v>
      </c>
      <c r="BB39" s="25">
        <f t="shared" si="15"/>
        <v>362751.99</v>
      </c>
      <c r="BC39" s="25">
        <f t="shared" si="16"/>
        <v>7216406.1100000003</v>
      </c>
      <c r="BD39" s="25">
        <v>6517983.0499999998</v>
      </c>
      <c r="BE39" s="25">
        <v>799015.27</v>
      </c>
      <c r="BF39" s="25">
        <v>0</v>
      </c>
      <c r="BG39" s="25">
        <v>362751.99</v>
      </c>
      <c r="BH39" s="25">
        <f t="shared" si="17"/>
        <v>7679750.3100000005</v>
      </c>
      <c r="BI39" s="29">
        <v>6517983.0499999998</v>
      </c>
      <c r="BJ39" s="29">
        <v>792559.86</v>
      </c>
      <c r="BK39" s="29">
        <v>0</v>
      </c>
      <c r="BL39" s="29">
        <v>362751.99</v>
      </c>
      <c r="BM39" s="29">
        <f t="shared" si="18"/>
        <v>7673294.9000000004</v>
      </c>
      <c r="BN39" s="30">
        <f t="shared" si="19"/>
        <v>58731129.900000006</v>
      </c>
    </row>
    <row r="40" spans="1:67" ht="30">
      <c r="A40" s="19">
        <v>4</v>
      </c>
      <c r="B40" s="19" t="s">
        <v>170</v>
      </c>
      <c r="C40" s="19" t="s">
        <v>171</v>
      </c>
      <c r="D40" s="31" t="s">
        <v>172</v>
      </c>
      <c r="E40" s="21">
        <v>9524980</v>
      </c>
      <c r="F40" s="22">
        <v>0</v>
      </c>
      <c r="G40" s="23">
        <v>3746737.59</v>
      </c>
      <c r="H40" s="23">
        <v>0</v>
      </c>
      <c r="I40" s="23">
        <v>0</v>
      </c>
      <c r="J40" s="23">
        <v>4235451.22</v>
      </c>
      <c r="K40" s="24">
        <v>0</v>
      </c>
      <c r="L40" s="24">
        <f t="shared" si="3"/>
        <v>4235451.22</v>
      </c>
      <c r="M40" s="24">
        <f t="shared" si="4"/>
        <v>4235451.22</v>
      </c>
      <c r="N40" s="24">
        <f t="shared" si="5"/>
        <v>7982188.8099999996</v>
      </c>
      <c r="O40" s="23">
        <f>3746737.59+878864.38</f>
        <v>4625601.97</v>
      </c>
      <c r="P40" s="23">
        <v>0</v>
      </c>
      <c r="Q40" s="23">
        <v>0</v>
      </c>
      <c r="R40" s="23">
        <v>4235451.22</v>
      </c>
      <c r="S40" s="23">
        <v>0</v>
      </c>
      <c r="T40" s="23">
        <f t="shared" si="6"/>
        <v>4235451.22</v>
      </c>
      <c r="U40" s="23">
        <f t="shared" si="7"/>
        <v>8861053.1899999995</v>
      </c>
      <c r="V40" s="16">
        <f>3746737.59+878864.38</f>
        <v>4625601.97</v>
      </c>
      <c r="W40" s="16">
        <v>0</v>
      </c>
      <c r="X40" s="16">
        <v>0</v>
      </c>
      <c r="Y40" s="16">
        <v>4235451.22</v>
      </c>
      <c r="Z40" s="16">
        <f t="shared" si="8"/>
        <v>4235451.22</v>
      </c>
      <c r="AA40" s="25">
        <f t="shared" si="0"/>
        <v>8861053.1899999995</v>
      </c>
      <c r="AB40" s="25">
        <f t="shared" si="20"/>
        <v>12997941.529999999</v>
      </c>
      <c r="AC40" s="32">
        <f t="shared" si="20"/>
        <v>0</v>
      </c>
      <c r="AD40" s="27">
        <f t="shared" si="20"/>
        <v>0</v>
      </c>
      <c r="AE40" s="25">
        <f t="shared" si="2"/>
        <v>12706353.66</v>
      </c>
      <c r="AF40" s="25">
        <v>0</v>
      </c>
      <c r="AG40" s="28">
        <f t="shared" si="9"/>
        <v>12706353.66</v>
      </c>
      <c r="AH40" s="26">
        <f t="shared" si="10"/>
        <v>25704295.189999998</v>
      </c>
      <c r="AI40" s="27">
        <f>3746737.59+878864.38</f>
        <v>4625601.97</v>
      </c>
      <c r="AJ40" s="25">
        <v>0</v>
      </c>
      <c r="AK40" s="32">
        <v>0</v>
      </c>
      <c r="AL40" s="27">
        <v>4235451.22</v>
      </c>
      <c r="AM40" s="25">
        <v>0</v>
      </c>
      <c r="AN40" s="28">
        <f t="shared" si="11"/>
        <v>4235451.22</v>
      </c>
      <c r="AO40" s="32">
        <f t="shared" si="12"/>
        <v>8861053.1899999995</v>
      </c>
      <c r="AP40" s="27">
        <f>3746737.59+878864.38</f>
        <v>4625601.97</v>
      </c>
      <c r="AQ40" s="25">
        <v>0</v>
      </c>
      <c r="AR40" s="32">
        <v>0</v>
      </c>
      <c r="AS40" s="27">
        <v>4235451.22</v>
      </c>
      <c r="AT40" s="25">
        <v>0</v>
      </c>
      <c r="AU40" s="25">
        <f t="shared" si="13"/>
        <v>4235451.22</v>
      </c>
      <c r="AV40" s="25">
        <f t="shared" si="14"/>
        <v>8861053.1899999995</v>
      </c>
      <c r="AW40" s="25">
        <f>3746737.59+463403.63</f>
        <v>4210141.22</v>
      </c>
      <c r="AX40" s="25">
        <v>0</v>
      </c>
      <c r="AY40" s="25">
        <v>0</v>
      </c>
      <c r="AZ40" s="25">
        <v>4235451.22</v>
      </c>
      <c r="BA40" s="25">
        <v>0</v>
      </c>
      <c r="BB40" s="25">
        <f t="shared" si="15"/>
        <v>4235451.22</v>
      </c>
      <c r="BC40" s="25">
        <f t="shared" si="16"/>
        <v>8445592.4399999995</v>
      </c>
      <c r="BD40" s="25">
        <v>5892488.5199999996</v>
      </c>
      <c r="BE40" s="25">
        <v>0</v>
      </c>
      <c r="BF40" s="25">
        <v>0</v>
      </c>
      <c r="BG40" s="25">
        <v>4235451.22</v>
      </c>
      <c r="BH40" s="25">
        <f t="shared" si="17"/>
        <v>10127939.739999998</v>
      </c>
      <c r="BI40" s="29">
        <v>5892488.5199999996</v>
      </c>
      <c r="BJ40" s="29">
        <v>0</v>
      </c>
      <c r="BK40" s="29">
        <v>0</v>
      </c>
      <c r="BL40" s="29">
        <v>4235451.22</v>
      </c>
      <c r="BM40" s="29">
        <f t="shared" si="18"/>
        <v>10127939.739999998</v>
      </c>
      <c r="BN40" s="30">
        <f t="shared" si="19"/>
        <v>72127873.48999998</v>
      </c>
    </row>
    <row r="41" spans="1:67" ht="30">
      <c r="A41" s="19">
        <v>11</v>
      </c>
      <c r="B41" s="19" t="s">
        <v>173</v>
      </c>
      <c r="C41" s="19" t="s">
        <v>174</v>
      </c>
      <c r="D41" s="20" t="s">
        <v>175</v>
      </c>
      <c r="E41" s="21">
        <v>4203911</v>
      </c>
      <c r="F41" s="22">
        <v>0</v>
      </c>
      <c r="G41" s="23">
        <v>307112.44</v>
      </c>
      <c r="H41" s="23">
        <v>526990.56000000006</v>
      </c>
      <c r="I41" s="23">
        <v>0</v>
      </c>
      <c r="J41" s="23">
        <v>152778.9</v>
      </c>
      <c r="K41" s="24">
        <v>11466.1</v>
      </c>
      <c r="L41" s="24">
        <f t="shared" si="3"/>
        <v>164245</v>
      </c>
      <c r="M41" s="24">
        <f t="shared" si="4"/>
        <v>164245</v>
      </c>
      <c r="N41" s="24">
        <f t="shared" si="5"/>
        <v>998348</v>
      </c>
      <c r="O41" s="23">
        <v>307112.44</v>
      </c>
      <c r="P41" s="23">
        <v>526990.56000000006</v>
      </c>
      <c r="Q41" s="23">
        <v>0</v>
      </c>
      <c r="R41" s="23">
        <v>152778.9</v>
      </c>
      <c r="S41" s="23">
        <v>16326.1</v>
      </c>
      <c r="T41" s="23">
        <f t="shared" si="6"/>
        <v>169105</v>
      </c>
      <c r="U41" s="23">
        <f t="shared" si="7"/>
        <v>1003208</v>
      </c>
      <c r="V41" s="16">
        <f>307112.44-66332.1</f>
        <v>240780.34</v>
      </c>
      <c r="W41" s="16">
        <v>526990.56000000006</v>
      </c>
      <c r="X41" s="16">
        <v>0</v>
      </c>
      <c r="Y41" s="16">
        <f>152778.9+66332.1</f>
        <v>219111</v>
      </c>
      <c r="Z41" s="16">
        <f t="shared" si="8"/>
        <v>219111</v>
      </c>
      <c r="AA41" s="25">
        <f t="shared" si="0"/>
        <v>986881.9</v>
      </c>
      <c r="AB41" s="25">
        <f t="shared" si="20"/>
        <v>855005.22</v>
      </c>
      <c r="AC41" s="26">
        <f t="shared" si="20"/>
        <v>1580971.6800000002</v>
      </c>
      <c r="AD41" s="27">
        <f t="shared" si="20"/>
        <v>0</v>
      </c>
      <c r="AE41" s="25">
        <f t="shared" si="2"/>
        <v>552461</v>
      </c>
      <c r="AF41" s="28">
        <v>0</v>
      </c>
      <c r="AG41" s="28">
        <f t="shared" si="9"/>
        <v>552461</v>
      </c>
      <c r="AH41" s="26">
        <f t="shared" si="10"/>
        <v>2988437.9000000004</v>
      </c>
      <c r="AI41" s="27">
        <v>307112.44</v>
      </c>
      <c r="AJ41" s="25">
        <v>526990.56000000006</v>
      </c>
      <c r="AK41" s="26">
        <v>0</v>
      </c>
      <c r="AL41" s="27">
        <v>152778.9</v>
      </c>
      <c r="AM41" s="25">
        <v>55681.1</v>
      </c>
      <c r="AN41" s="28">
        <f t="shared" si="11"/>
        <v>208460</v>
      </c>
      <c r="AO41" s="26">
        <f t="shared" si="12"/>
        <v>1042563</v>
      </c>
      <c r="AP41" s="27">
        <v>307112.44</v>
      </c>
      <c r="AQ41" s="25">
        <v>526990.56000000006</v>
      </c>
      <c r="AR41" s="26">
        <v>0</v>
      </c>
      <c r="AS41" s="27">
        <v>152778.9</v>
      </c>
      <c r="AT41" s="25">
        <v>8506.1</v>
      </c>
      <c r="AU41" s="25">
        <f t="shared" si="13"/>
        <v>161285</v>
      </c>
      <c r="AV41" s="25">
        <f t="shared" si="14"/>
        <v>995388</v>
      </c>
      <c r="AW41" s="25">
        <v>307112.44</v>
      </c>
      <c r="AX41" s="25">
        <v>526990.56000000006</v>
      </c>
      <c r="AY41" s="25">
        <v>0</v>
      </c>
      <c r="AZ41" s="25">
        <v>152778.9</v>
      </c>
      <c r="BA41" s="25">
        <v>9710.1</v>
      </c>
      <c r="BB41" s="25">
        <f t="shared" si="15"/>
        <v>162489</v>
      </c>
      <c r="BC41" s="25">
        <f t="shared" si="16"/>
        <v>996592</v>
      </c>
      <c r="BD41" s="25">
        <v>176542.76</v>
      </c>
      <c r="BE41" s="25">
        <v>527435.39</v>
      </c>
      <c r="BF41" s="25">
        <v>0</v>
      </c>
      <c r="BG41" s="25">
        <v>152778.9</v>
      </c>
      <c r="BH41" s="25">
        <f t="shared" si="17"/>
        <v>856757.05</v>
      </c>
      <c r="BI41" s="29">
        <v>176542.76</v>
      </c>
      <c r="BJ41" s="29">
        <v>527435.39</v>
      </c>
      <c r="BK41" s="29">
        <v>0</v>
      </c>
      <c r="BL41" s="29">
        <v>152778.9</v>
      </c>
      <c r="BM41" s="29">
        <f t="shared" si="18"/>
        <v>856757.05</v>
      </c>
      <c r="BN41" s="30">
        <f t="shared" si="19"/>
        <v>7736495</v>
      </c>
    </row>
    <row r="42" spans="1:67" ht="30">
      <c r="A42" s="19">
        <v>40</v>
      </c>
      <c r="B42" s="33" t="s">
        <v>176</v>
      </c>
      <c r="C42" s="33" t="s">
        <v>177</v>
      </c>
      <c r="D42" s="31" t="s">
        <v>178</v>
      </c>
      <c r="E42" s="42">
        <v>4192537</v>
      </c>
      <c r="F42" s="22">
        <v>0</v>
      </c>
      <c r="G42" s="23">
        <f>11222262.47-542368.71</f>
        <v>10679893.760000002</v>
      </c>
      <c r="H42" s="23">
        <v>1681098.94</v>
      </c>
      <c r="I42" s="23">
        <v>36410.67</v>
      </c>
      <c r="J42" s="23">
        <v>1047349.29</v>
      </c>
      <c r="K42" s="24">
        <v>291141.71000000002</v>
      </c>
      <c r="L42" s="24">
        <f t="shared" si="3"/>
        <v>1338491</v>
      </c>
      <c r="M42" s="24">
        <f t="shared" si="4"/>
        <v>1338491</v>
      </c>
      <c r="N42" s="24">
        <f t="shared" si="5"/>
        <v>13735894.370000001</v>
      </c>
      <c r="O42" s="23">
        <v>11222262.470000001</v>
      </c>
      <c r="P42" s="23">
        <v>1681098.94</v>
      </c>
      <c r="Q42" s="23">
        <v>36410.67</v>
      </c>
      <c r="R42" s="23">
        <v>1047349.29</v>
      </c>
      <c r="S42" s="23">
        <v>439791.71</v>
      </c>
      <c r="T42" s="23">
        <f t="shared" si="6"/>
        <v>1487141</v>
      </c>
      <c r="U42" s="23">
        <f t="shared" si="7"/>
        <v>14426913.080000002</v>
      </c>
      <c r="V42" s="16">
        <v>11222262.470000001</v>
      </c>
      <c r="W42" s="16">
        <v>1681098.94</v>
      </c>
      <c r="X42" s="16">
        <v>36410.67</v>
      </c>
      <c r="Y42" s="16">
        <f>1047349.29+542368.71</f>
        <v>1589718</v>
      </c>
      <c r="Z42" s="16">
        <f t="shared" si="8"/>
        <v>1589718</v>
      </c>
      <c r="AA42" s="25">
        <f t="shared" si="0"/>
        <v>14529490.08</v>
      </c>
      <c r="AB42" s="25">
        <f t="shared" si="20"/>
        <v>33124418.700000003</v>
      </c>
      <c r="AC42" s="32">
        <f t="shared" si="20"/>
        <v>5043296.82</v>
      </c>
      <c r="AD42" s="43">
        <f t="shared" si="20"/>
        <v>109232.01</v>
      </c>
      <c r="AE42" s="25">
        <f t="shared" si="2"/>
        <v>4415350</v>
      </c>
      <c r="AF42" s="25">
        <v>0</v>
      </c>
      <c r="AG42" s="28">
        <f t="shared" si="9"/>
        <v>4415350</v>
      </c>
      <c r="AH42" s="26">
        <f t="shared" si="10"/>
        <v>42692297.530000001</v>
      </c>
      <c r="AI42" s="43">
        <v>11222262.470000001</v>
      </c>
      <c r="AJ42" s="25">
        <v>1681098.94</v>
      </c>
      <c r="AK42" s="32">
        <v>36410.67</v>
      </c>
      <c r="AL42" s="43">
        <v>1047349.29</v>
      </c>
      <c r="AM42" s="25">
        <v>631964.71</v>
      </c>
      <c r="AN42" s="28">
        <f t="shared" si="11"/>
        <v>1679314</v>
      </c>
      <c r="AO42" s="32">
        <f t="shared" si="12"/>
        <v>14619086.080000002</v>
      </c>
      <c r="AP42" s="43">
        <v>11222262.470000001</v>
      </c>
      <c r="AQ42" s="25">
        <v>1681098.94</v>
      </c>
      <c r="AR42" s="32">
        <v>36410.67</v>
      </c>
      <c r="AS42" s="43">
        <v>1047349.29</v>
      </c>
      <c r="AT42" s="25">
        <v>387635.71</v>
      </c>
      <c r="AU42" s="25">
        <f t="shared" si="13"/>
        <v>1434985</v>
      </c>
      <c r="AV42" s="25">
        <f t="shared" si="14"/>
        <v>14374757.080000002</v>
      </c>
      <c r="AW42" s="25">
        <v>11222262.470000001</v>
      </c>
      <c r="AX42" s="25">
        <v>1681098.94</v>
      </c>
      <c r="AY42" s="25">
        <v>36410.67</v>
      </c>
      <c r="AZ42" s="25">
        <v>1047349.29</v>
      </c>
      <c r="BA42" s="25">
        <v>274951.71000000002</v>
      </c>
      <c r="BB42" s="25">
        <f t="shared" si="15"/>
        <v>1322301</v>
      </c>
      <c r="BC42" s="25">
        <f t="shared" si="16"/>
        <v>14262073.080000002</v>
      </c>
      <c r="BD42" s="25">
        <v>12414224.51</v>
      </c>
      <c r="BE42" s="25">
        <v>1728517.62</v>
      </c>
      <c r="BF42" s="25">
        <v>36410.67</v>
      </c>
      <c r="BG42" s="25">
        <v>1047349.29</v>
      </c>
      <c r="BH42" s="25">
        <f t="shared" si="17"/>
        <v>15226502.09</v>
      </c>
      <c r="BI42" s="29">
        <v>12414224.51</v>
      </c>
      <c r="BJ42" s="29">
        <v>1728517.62</v>
      </c>
      <c r="BK42" s="29">
        <v>36410.67</v>
      </c>
      <c r="BL42" s="29">
        <v>1047349.29</v>
      </c>
      <c r="BM42" s="29">
        <f t="shared" si="18"/>
        <v>15226502.09</v>
      </c>
      <c r="BN42" s="30">
        <f t="shared" si="19"/>
        <v>116401217.95</v>
      </c>
    </row>
    <row r="43" spans="1:67" ht="14.25" customHeight="1">
      <c r="A43" s="19">
        <v>41</v>
      </c>
      <c r="B43" s="19" t="s">
        <v>179</v>
      </c>
      <c r="C43" s="19" t="s">
        <v>180</v>
      </c>
      <c r="D43" s="31" t="s">
        <v>181</v>
      </c>
      <c r="E43" s="21">
        <v>14908162</v>
      </c>
      <c r="F43" s="22">
        <v>0</v>
      </c>
      <c r="G43" s="23">
        <v>511744.4</v>
      </c>
      <c r="H43" s="23">
        <v>0</v>
      </c>
      <c r="I43" s="23">
        <v>0</v>
      </c>
      <c r="J43" s="23">
        <v>131996.19</v>
      </c>
      <c r="K43" s="24">
        <v>0</v>
      </c>
      <c r="L43" s="24">
        <f t="shared" si="3"/>
        <v>131996.19</v>
      </c>
      <c r="M43" s="24">
        <f t="shared" si="4"/>
        <v>131996.19</v>
      </c>
      <c r="N43" s="24">
        <f t="shared" si="5"/>
        <v>643740.59000000008</v>
      </c>
      <c r="O43" s="23">
        <v>511744.4</v>
      </c>
      <c r="P43" s="23">
        <v>0</v>
      </c>
      <c r="Q43" s="23">
        <v>0</v>
      </c>
      <c r="R43" s="23">
        <v>131996.19</v>
      </c>
      <c r="S43" s="23">
        <v>0</v>
      </c>
      <c r="T43" s="23">
        <f t="shared" si="6"/>
        <v>131996.19</v>
      </c>
      <c r="U43" s="23">
        <f t="shared" si="7"/>
        <v>643740.59000000008</v>
      </c>
      <c r="V43" s="16">
        <v>511744.4</v>
      </c>
      <c r="W43" s="16">
        <v>0</v>
      </c>
      <c r="X43" s="16">
        <v>0</v>
      </c>
      <c r="Y43" s="16">
        <v>131996.19</v>
      </c>
      <c r="Z43" s="16">
        <f t="shared" si="8"/>
        <v>131996.19</v>
      </c>
      <c r="AA43" s="25">
        <f t="shared" si="0"/>
        <v>643740.59000000008</v>
      </c>
      <c r="AB43" s="25">
        <f t="shared" si="20"/>
        <v>1535233.2000000002</v>
      </c>
      <c r="AC43" s="32">
        <f t="shared" si="20"/>
        <v>0</v>
      </c>
      <c r="AD43" s="27">
        <f t="shared" si="20"/>
        <v>0</v>
      </c>
      <c r="AE43" s="25">
        <f t="shared" si="2"/>
        <v>395988.57</v>
      </c>
      <c r="AF43" s="25">
        <v>0</v>
      </c>
      <c r="AG43" s="28">
        <f t="shared" si="9"/>
        <v>395988.57</v>
      </c>
      <c r="AH43" s="26">
        <f t="shared" si="10"/>
        <v>1931221.7700000003</v>
      </c>
      <c r="AI43" s="27">
        <v>511744.4</v>
      </c>
      <c r="AJ43" s="25">
        <v>0</v>
      </c>
      <c r="AK43" s="32">
        <v>0</v>
      </c>
      <c r="AL43" s="27">
        <v>131996.19</v>
      </c>
      <c r="AM43" s="25">
        <v>24911.81</v>
      </c>
      <c r="AN43" s="28">
        <f t="shared" si="11"/>
        <v>156908</v>
      </c>
      <c r="AO43" s="32">
        <f t="shared" si="12"/>
        <v>668652.40000000014</v>
      </c>
      <c r="AP43" s="27">
        <v>511744.4</v>
      </c>
      <c r="AQ43" s="25">
        <v>0</v>
      </c>
      <c r="AR43" s="32">
        <v>0</v>
      </c>
      <c r="AS43" s="27">
        <v>131996.19</v>
      </c>
      <c r="AT43" s="25">
        <v>0</v>
      </c>
      <c r="AU43" s="25">
        <f t="shared" si="13"/>
        <v>131996.19</v>
      </c>
      <c r="AV43" s="25">
        <f t="shared" si="14"/>
        <v>643740.59000000008</v>
      </c>
      <c r="AW43" s="25">
        <v>511744.4</v>
      </c>
      <c r="AX43" s="25">
        <v>0</v>
      </c>
      <c r="AY43" s="25">
        <v>0</v>
      </c>
      <c r="AZ43" s="25">
        <v>131996.19</v>
      </c>
      <c r="BA43" s="25">
        <v>855.81</v>
      </c>
      <c r="BB43" s="25">
        <f t="shared" si="15"/>
        <v>132852</v>
      </c>
      <c r="BC43" s="25">
        <f t="shared" si="16"/>
        <v>644596.40000000014</v>
      </c>
      <c r="BD43" s="25">
        <v>493936.34</v>
      </c>
      <c r="BE43" s="25">
        <v>0</v>
      </c>
      <c r="BF43" s="25">
        <v>0</v>
      </c>
      <c r="BG43" s="25">
        <v>131996.19</v>
      </c>
      <c r="BH43" s="25">
        <f t="shared" si="17"/>
        <v>625932.53</v>
      </c>
      <c r="BI43" s="29">
        <v>493936.34</v>
      </c>
      <c r="BJ43" s="29">
        <v>0</v>
      </c>
      <c r="BK43" s="29">
        <v>0</v>
      </c>
      <c r="BL43" s="29">
        <v>131996.19</v>
      </c>
      <c r="BM43" s="29">
        <f t="shared" si="18"/>
        <v>625932.53</v>
      </c>
      <c r="BN43" s="30">
        <f t="shared" si="19"/>
        <v>5140076.2200000016</v>
      </c>
    </row>
    <row r="44" spans="1:67">
      <c r="A44" s="19">
        <v>45</v>
      </c>
      <c r="B44" s="19" t="s">
        <v>182</v>
      </c>
      <c r="C44" s="19" t="s">
        <v>183</v>
      </c>
      <c r="D44" s="31" t="s">
        <v>184</v>
      </c>
      <c r="E44" s="21">
        <v>5854268</v>
      </c>
      <c r="F44" s="22">
        <v>97695.91</v>
      </c>
      <c r="G44" s="23">
        <v>325353.09999999998</v>
      </c>
      <c r="H44" s="23">
        <v>0</v>
      </c>
      <c r="I44" s="23">
        <f>330563.34-77281.03</f>
        <v>253282.31000000003</v>
      </c>
      <c r="J44" s="23">
        <v>88731.97</v>
      </c>
      <c r="K44" s="24">
        <v>29140.03</v>
      </c>
      <c r="L44" s="24">
        <f t="shared" si="3"/>
        <v>117872</v>
      </c>
      <c r="M44" s="24">
        <f t="shared" si="4"/>
        <v>117872</v>
      </c>
      <c r="N44" s="24">
        <f t="shared" si="5"/>
        <v>696507.41</v>
      </c>
      <c r="O44" s="23">
        <v>327261.69</v>
      </c>
      <c r="P44" s="23">
        <v>0</v>
      </c>
      <c r="Q44" s="23">
        <v>326330.59999999998</v>
      </c>
      <c r="R44" s="23">
        <v>88731.97</v>
      </c>
      <c r="S44" s="23">
        <v>47841.03</v>
      </c>
      <c r="T44" s="23">
        <f t="shared" si="6"/>
        <v>136573</v>
      </c>
      <c r="U44" s="23">
        <f t="shared" si="7"/>
        <v>790165.29</v>
      </c>
      <c r="V44" s="16">
        <v>327800</v>
      </c>
      <c r="W44" s="16">
        <v>0</v>
      </c>
      <c r="X44" s="16">
        <v>326330.59999999998</v>
      </c>
      <c r="Y44" s="16">
        <f>88731.97+77281.03</f>
        <v>166013</v>
      </c>
      <c r="Z44" s="16">
        <f t="shared" si="8"/>
        <v>166013</v>
      </c>
      <c r="AA44" s="25">
        <f t="shared" si="0"/>
        <v>820143.6</v>
      </c>
      <c r="AB44" s="25">
        <f t="shared" si="20"/>
        <v>980414.79</v>
      </c>
      <c r="AC44" s="32">
        <f t="shared" si="20"/>
        <v>0</v>
      </c>
      <c r="AD44" s="27">
        <f t="shared" si="20"/>
        <v>905943.51</v>
      </c>
      <c r="AE44" s="25">
        <f t="shared" si="2"/>
        <v>420458</v>
      </c>
      <c r="AF44" s="25">
        <v>0</v>
      </c>
      <c r="AG44" s="28">
        <f t="shared" si="9"/>
        <v>420458</v>
      </c>
      <c r="AH44" s="26">
        <f t="shared" si="10"/>
        <v>2306816.2999999998</v>
      </c>
      <c r="AI44" s="27">
        <v>329731.565</v>
      </c>
      <c r="AJ44" s="25">
        <v>0</v>
      </c>
      <c r="AK44" s="32">
        <v>326330.59999999998</v>
      </c>
      <c r="AL44" s="27">
        <v>88731.97</v>
      </c>
      <c r="AM44" s="25">
        <v>35668.03</v>
      </c>
      <c r="AN44" s="28">
        <f t="shared" si="11"/>
        <v>124400</v>
      </c>
      <c r="AO44" s="32">
        <f t="shared" si="12"/>
        <v>780462.16500000004</v>
      </c>
      <c r="AP44" s="27">
        <v>331663.13</v>
      </c>
      <c r="AQ44" s="25">
        <v>0</v>
      </c>
      <c r="AR44" s="32">
        <v>326330.59999999998</v>
      </c>
      <c r="AS44" s="27">
        <v>88731.97</v>
      </c>
      <c r="AT44" s="25">
        <v>11613.03</v>
      </c>
      <c r="AU44" s="25">
        <f t="shared" si="13"/>
        <v>100345</v>
      </c>
      <c r="AV44" s="25">
        <f t="shared" si="14"/>
        <v>758338.73</v>
      </c>
      <c r="AW44" s="25">
        <v>335863.73</v>
      </c>
      <c r="AX44" s="25">
        <v>0</v>
      </c>
      <c r="AY44" s="25">
        <v>326330.59999999998</v>
      </c>
      <c r="AZ44" s="25">
        <v>88731.97</v>
      </c>
      <c r="BA44" s="25">
        <v>0</v>
      </c>
      <c r="BB44" s="25">
        <f t="shared" si="15"/>
        <v>88731.97</v>
      </c>
      <c r="BC44" s="25">
        <f t="shared" si="16"/>
        <v>750926.29999999993</v>
      </c>
      <c r="BD44" s="25">
        <v>336738.49</v>
      </c>
      <c r="BE44" s="25">
        <v>0</v>
      </c>
      <c r="BF44" s="25">
        <v>269475.34000000003</v>
      </c>
      <c r="BG44" s="25">
        <v>88731.97</v>
      </c>
      <c r="BH44" s="25">
        <f t="shared" si="17"/>
        <v>694945.8</v>
      </c>
      <c r="BI44" s="29">
        <v>340595.61</v>
      </c>
      <c r="BJ44" s="29">
        <v>0</v>
      </c>
      <c r="BK44" s="29">
        <v>259471.51</v>
      </c>
      <c r="BL44" s="29">
        <v>88731.97</v>
      </c>
      <c r="BM44" s="29">
        <f t="shared" si="18"/>
        <v>688799.09</v>
      </c>
      <c r="BN44" s="30">
        <f t="shared" si="19"/>
        <v>6077984.2949999999</v>
      </c>
    </row>
    <row r="45" spans="1:67">
      <c r="A45" s="19">
        <v>42</v>
      </c>
      <c r="B45" s="19" t="s">
        <v>185</v>
      </c>
      <c r="C45" s="19" t="s">
        <v>186</v>
      </c>
      <c r="D45" s="31" t="s">
        <v>187</v>
      </c>
      <c r="E45" s="21">
        <v>21101334</v>
      </c>
      <c r="F45" s="22">
        <v>56958.79</v>
      </c>
      <c r="G45" s="23">
        <v>0</v>
      </c>
      <c r="H45" s="23">
        <v>1477459.02</v>
      </c>
      <c r="I45" s="23">
        <v>0</v>
      </c>
      <c r="J45" s="23">
        <v>25204.84</v>
      </c>
      <c r="K45" s="24">
        <v>23819.16</v>
      </c>
      <c r="L45" s="24">
        <f t="shared" si="3"/>
        <v>49024</v>
      </c>
      <c r="M45" s="24">
        <f t="shared" si="4"/>
        <v>49024</v>
      </c>
      <c r="N45" s="24">
        <f t="shared" si="5"/>
        <v>1526483.02</v>
      </c>
      <c r="O45" s="23">
        <v>0</v>
      </c>
      <c r="P45" s="23">
        <v>1477459.02</v>
      </c>
      <c r="Q45" s="23">
        <v>0</v>
      </c>
      <c r="R45" s="23">
        <v>25204.84</v>
      </c>
      <c r="S45" s="23">
        <v>51012.160000000003</v>
      </c>
      <c r="T45" s="23">
        <f t="shared" si="6"/>
        <v>76217</v>
      </c>
      <c r="U45" s="23">
        <f t="shared" si="7"/>
        <v>1553676.02</v>
      </c>
      <c r="V45" s="16">
        <v>0</v>
      </c>
      <c r="W45" s="16">
        <v>1477459.02</v>
      </c>
      <c r="X45" s="16">
        <v>0</v>
      </c>
      <c r="Y45" s="16">
        <v>25204.84</v>
      </c>
      <c r="Z45" s="16">
        <f t="shared" si="8"/>
        <v>75451</v>
      </c>
      <c r="AA45" s="25">
        <f t="shared" si="0"/>
        <v>1502663.86</v>
      </c>
      <c r="AB45" s="25">
        <f t="shared" si="20"/>
        <v>0</v>
      </c>
      <c r="AC45" s="32">
        <f t="shared" si="20"/>
        <v>4432377.0600000005</v>
      </c>
      <c r="AD45" s="27">
        <f t="shared" si="20"/>
        <v>0</v>
      </c>
      <c r="AE45" s="25">
        <f t="shared" si="2"/>
        <v>150445.84000000003</v>
      </c>
      <c r="AF45" s="25">
        <v>50246.16</v>
      </c>
      <c r="AG45" s="28">
        <f t="shared" si="9"/>
        <v>200692.00000000003</v>
      </c>
      <c r="AH45" s="26">
        <f t="shared" si="10"/>
        <v>4633069.0600000005</v>
      </c>
      <c r="AI45" s="27">
        <v>0</v>
      </c>
      <c r="AJ45" s="25">
        <v>1477459.02</v>
      </c>
      <c r="AK45" s="32">
        <v>0</v>
      </c>
      <c r="AL45" s="27">
        <v>25204.84</v>
      </c>
      <c r="AM45" s="25">
        <v>72843.16</v>
      </c>
      <c r="AN45" s="28">
        <f t="shared" si="11"/>
        <v>98048</v>
      </c>
      <c r="AO45" s="32">
        <f t="shared" si="12"/>
        <v>1575507.02</v>
      </c>
      <c r="AP45" s="27">
        <v>0</v>
      </c>
      <c r="AQ45" s="25">
        <v>1477459.02</v>
      </c>
      <c r="AR45" s="32">
        <v>0</v>
      </c>
      <c r="AS45" s="27">
        <v>25204.84</v>
      </c>
      <c r="AT45" s="25">
        <v>35309.160000000003</v>
      </c>
      <c r="AU45" s="25">
        <f t="shared" si="13"/>
        <v>60514</v>
      </c>
      <c r="AV45" s="25">
        <f t="shared" si="14"/>
        <v>1537973.02</v>
      </c>
      <c r="AW45" s="25">
        <v>0</v>
      </c>
      <c r="AX45" s="25">
        <v>1477459.02</v>
      </c>
      <c r="AY45" s="25">
        <v>0</v>
      </c>
      <c r="AZ45" s="25">
        <v>25204.84</v>
      </c>
      <c r="BA45" s="25">
        <v>36458.160000000003</v>
      </c>
      <c r="BB45" s="25">
        <f t="shared" si="15"/>
        <v>61663</v>
      </c>
      <c r="BC45" s="25">
        <f t="shared" si="16"/>
        <v>1539122.02</v>
      </c>
      <c r="BD45" s="25">
        <v>0</v>
      </c>
      <c r="BE45" s="25">
        <v>1559557.42</v>
      </c>
      <c r="BF45" s="25">
        <v>0</v>
      </c>
      <c r="BG45" s="25">
        <v>25204.84</v>
      </c>
      <c r="BH45" s="25">
        <f t="shared" si="17"/>
        <v>1584762.26</v>
      </c>
      <c r="BI45" s="29">
        <v>0</v>
      </c>
      <c r="BJ45" s="29">
        <v>1559557.42</v>
      </c>
      <c r="BK45" s="29">
        <v>0</v>
      </c>
      <c r="BL45" s="29">
        <v>25204.84</v>
      </c>
      <c r="BM45" s="29">
        <f t="shared" si="18"/>
        <v>1584762.26</v>
      </c>
      <c r="BN45" s="30">
        <f t="shared" si="19"/>
        <v>12512154.43</v>
      </c>
    </row>
    <row r="46" spans="1:67">
      <c r="A46" s="19">
        <v>46</v>
      </c>
      <c r="B46" s="33" t="s">
        <v>188</v>
      </c>
      <c r="C46" s="33" t="s">
        <v>189</v>
      </c>
      <c r="D46" s="31" t="s">
        <v>190</v>
      </c>
      <c r="E46" s="21">
        <v>14009050</v>
      </c>
      <c r="F46" s="22">
        <v>0</v>
      </c>
      <c r="G46" s="23">
        <v>312205.93000000005</v>
      </c>
      <c r="H46" s="23">
        <v>0</v>
      </c>
      <c r="I46" s="23">
        <v>0</v>
      </c>
      <c r="J46" s="23">
        <v>203270.5</v>
      </c>
      <c r="K46" s="24">
        <v>0</v>
      </c>
      <c r="L46" s="24">
        <f t="shared" si="3"/>
        <v>203270.5</v>
      </c>
      <c r="M46" s="24">
        <f t="shared" si="4"/>
        <v>203270.5</v>
      </c>
      <c r="N46" s="24">
        <f t="shared" si="5"/>
        <v>515476.43000000005</v>
      </c>
      <c r="O46" s="23">
        <v>302606.36</v>
      </c>
      <c r="P46" s="23">
        <v>0</v>
      </c>
      <c r="Q46" s="23">
        <v>0</v>
      </c>
      <c r="R46" s="23">
        <v>180762</v>
      </c>
      <c r="S46" s="23">
        <v>9493</v>
      </c>
      <c r="T46" s="23">
        <f t="shared" si="6"/>
        <v>190255</v>
      </c>
      <c r="U46" s="23">
        <f t="shared" si="7"/>
        <v>492861.36</v>
      </c>
      <c r="V46" s="16">
        <f>315495.41+11058.77</f>
        <v>326554.18</v>
      </c>
      <c r="W46" s="16">
        <v>0</v>
      </c>
      <c r="X46" s="16">
        <v>0</v>
      </c>
      <c r="Y46" s="16">
        <v>181129</v>
      </c>
      <c r="Z46" s="16">
        <f t="shared" si="8"/>
        <v>181129</v>
      </c>
      <c r="AA46" s="25">
        <f t="shared" si="0"/>
        <v>507683.18</v>
      </c>
      <c r="AB46" s="25">
        <f t="shared" si="20"/>
        <v>941366.47</v>
      </c>
      <c r="AC46" s="32">
        <f t="shared" si="20"/>
        <v>0</v>
      </c>
      <c r="AD46" s="27">
        <f t="shared" si="20"/>
        <v>0</v>
      </c>
      <c r="AE46" s="25">
        <f t="shared" si="2"/>
        <v>574654.5</v>
      </c>
      <c r="AF46" s="25">
        <v>0</v>
      </c>
      <c r="AG46" s="28">
        <f t="shared" si="9"/>
        <v>574654.5</v>
      </c>
      <c r="AH46" s="26">
        <f t="shared" si="10"/>
        <v>1516020.97</v>
      </c>
      <c r="AI46" s="27">
        <v>321024.79499999998</v>
      </c>
      <c r="AJ46" s="25">
        <v>0</v>
      </c>
      <c r="AK46" s="32">
        <v>0</v>
      </c>
      <c r="AL46" s="27">
        <v>185692</v>
      </c>
      <c r="AM46" s="25">
        <v>23346</v>
      </c>
      <c r="AN46" s="28">
        <f t="shared" si="11"/>
        <v>209038</v>
      </c>
      <c r="AO46" s="32">
        <f t="shared" si="12"/>
        <v>530062.79499999993</v>
      </c>
      <c r="AP46" s="27">
        <f>326554.18+139334.43</f>
        <v>465888.61</v>
      </c>
      <c r="AQ46" s="25">
        <v>0</v>
      </c>
      <c r="AR46" s="32">
        <v>0</v>
      </c>
      <c r="AS46" s="27">
        <v>190255</v>
      </c>
      <c r="AT46" s="25">
        <v>0</v>
      </c>
      <c r="AU46" s="25">
        <f t="shared" si="13"/>
        <v>190255</v>
      </c>
      <c r="AV46" s="25">
        <f t="shared" si="14"/>
        <v>656143.61</v>
      </c>
      <c r="AW46" s="25">
        <v>465888.61</v>
      </c>
      <c r="AX46" s="25">
        <v>0</v>
      </c>
      <c r="AY46" s="25">
        <v>0</v>
      </c>
      <c r="AZ46" s="25">
        <v>206003.81</v>
      </c>
      <c r="BA46" s="25">
        <v>0</v>
      </c>
      <c r="BB46" s="25">
        <f t="shared" si="15"/>
        <v>206003.81</v>
      </c>
      <c r="BC46" s="25">
        <f t="shared" si="16"/>
        <v>671892.41999999993</v>
      </c>
      <c r="BD46" s="25">
        <f>368677.31+97211.3</f>
        <v>465888.61</v>
      </c>
      <c r="BE46" s="25">
        <v>0</v>
      </c>
      <c r="BF46" s="25">
        <v>0</v>
      </c>
      <c r="BG46" s="25">
        <v>183703</v>
      </c>
      <c r="BH46" s="25">
        <f t="shared" si="17"/>
        <v>649591.61</v>
      </c>
      <c r="BI46" s="29">
        <v>371658.14</v>
      </c>
      <c r="BJ46" s="29">
        <v>0</v>
      </c>
      <c r="BK46" s="29">
        <v>0</v>
      </c>
      <c r="BL46" s="29">
        <v>178522</v>
      </c>
      <c r="BM46" s="29">
        <f t="shared" si="18"/>
        <v>550180.14</v>
      </c>
      <c r="BN46" s="30">
        <f t="shared" si="19"/>
        <v>4573891.5449999999</v>
      </c>
    </row>
    <row r="47" spans="1:67">
      <c r="A47" s="19">
        <v>47</v>
      </c>
      <c r="B47" s="33" t="s">
        <v>191</v>
      </c>
      <c r="C47" s="33" t="s">
        <v>192</v>
      </c>
      <c r="D47" s="31" t="s">
        <v>193</v>
      </c>
      <c r="E47" s="21">
        <v>8422035</v>
      </c>
      <c r="F47" s="22">
        <v>123810.33</v>
      </c>
      <c r="G47" s="23">
        <f>1651646.16-16130.95</f>
        <v>1635515.21</v>
      </c>
      <c r="H47" s="23">
        <v>0</v>
      </c>
      <c r="I47" s="23">
        <v>0</v>
      </c>
      <c r="J47" s="23">
        <v>400159.71</v>
      </c>
      <c r="K47" s="24">
        <v>128992.29</v>
      </c>
      <c r="L47" s="24">
        <f t="shared" si="3"/>
        <v>529152</v>
      </c>
      <c r="M47" s="24">
        <f t="shared" si="4"/>
        <v>529152</v>
      </c>
      <c r="N47" s="24">
        <f t="shared" si="5"/>
        <v>2164667.21</v>
      </c>
      <c r="O47" s="23">
        <v>1526375.49</v>
      </c>
      <c r="P47" s="23">
        <v>0</v>
      </c>
      <c r="Q47" s="23">
        <v>0</v>
      </c>
      <c r="R47" s="23">
        <v>400159.71</v>
      </c>
      <c r="S47" s="23">
        <v>156176.29</v>
      </c>
      <c r="T47" s="23">
        <f t="shared" si="6"/>
        <v>556336</v>
      </c>
      <c r="U47" s="23">
        <f t="shared" si="7"/>
        <v>2082711.49</v>
      </c>
      <c r="V47" s="16">
        <f>1526375.49</f>
        <v>1526375.49</v>
      </c>
      <c r="W47" s="16">
        <v>0</v>
      </c>
      <c r="X47" s="16">
        <v>0</v>
      </c>
      <c r="Y47" s="16">
        <f>400159.71+16130.95</f>
        <v>416290.66000000003</v>
      </c>
      <c r="Z47" s="16">
        <f t="shared" si="8"/>
        <v>580644</v>
      </c>
      <c r="AA47" s="25">
        <f t="shared" si="0"/>
        <v>1942666.15</v>
      </c>
      <c r="AB47" s="25">
        <f t="shared" si="20"/>
        <v>4688266.1900000004</v>
      </c>
      <c r="AC47" s="32">
        <f t="shared" si="20"/>
        <v>0</v>
      </c>
      <c r="AD47" s="27">
        <f t="shared" si="20"/>
        <v>0</v>
      </c>
      <c r="AE47" s="25">
        <f t="shared" si="2"/>
        <v>1501778.6600000001</v>
      </c>
      <c r="AF47" s="25">
        <v>164353.34</v>
      </c>
      <c r="AG47" s="28">
        <f t="shared" si="9"/>
        <v>1666132.0000000002</v>
      </c>
      <c r="AH47" s="26">
        <f t="shared" si="10"/>
        <v>6354398.1900000004</v>
      </c>
      <c r="AI47" s="27">
        <v>1526375.49</v>
      </c>
      <c r="AJ47" s="25">
        <v>0</v>
      </c>
      <c r="AK47" s="32">
        <v>0</v>
      </c>
      <c r="AL47" s="27">
        <v>400159.71</v>
      </c>
      <c r="AM47" s="25">
        <v>275001.28999999998</v>
      </c>
      <c r="AN47" s="28">
        <f t="shared" si="11"/>
        <v>675161</v>
      </c>
      <c r="AO47" s="32">
        <f t="shared" si="12"/>
        <v>2201536.4899999998</v>
      </c>
      <c r="AP47" s="27">
        <v>1548796.25</v>
      </c>
      <c r="AQ47" s="25">
        <v>0</v>
      </c>
      <c r="AR47" s="32">
        <v>0</v>
      </c>
      <c r="AS47" s="27">
        <v>400159.71</v>
      </c>
      <c r="AT47" s="25">
        <v>189910.29</v>
      </c>
      <c r="AU47" s="25">
        <f t="shared" si="13"/>
        <v>590070</v>
      </c>
      <c r="AV47" s="25">
        <f t="shared" si="14"/>
        <v>2138866.25</v>
      </c>
      <c r="AW47" s="25">
        <v>1640185.88</v>
      </c>
      <c r="AX47" s="25">
        <v>0</v>
      </c>
      <c r="AY47" s="25">
        <v>0</v>
      </c>
      <c r="AZ47" s="25">
        <v>400159.71</v>
      </c>
      <c r="BA47" s="25">
        <v>162927.29</v>
      </c>
      <c r="BB47" s="25">
        <f t="shared" si="15"/>
        <v>563087</v>
      </c>
      <c r="BC47" s="25">
        <f t="shared" si="16"/>
        <v>2203272.88</v>
      </c>
      <c r="BD47" s="25">
        <v>1548116.5</v>
      </c>
      <c r="BE47" s="25">
        <v>0</v>
      </c>
      <c r="BF47" s="25">
        <v>0</v>
      </c>
      <c r="BG47" s="25">
        <v>400159.71</v>
      </c>
      <c r="BH47" s="25">
        <f t="shared" si="17"/>
        <v>1948276.21</v>
      </c>
      <c r="BI47" s="29">
        <v>1554565.46</v>
      </c>
      <c r="BJ47" s="29">
        <v>0</v>
      </c>
      <c r="BK47" s="29">
        <v>0</v>
      </c>
      <c r="BL47" s="29">
        <v>400159.71</v>
      </c>
      <c r="BM47" s="29">
        <f t="shared" si="18"/>
        <v>1954725.17</v>
      </c>
      <c r="BN47" s="30">
        <f t="shared" si="19"/>
        <v>16924885.520000003</v>
      </c>
    </row>
    <row r="48" spans="1:67" ht="14.25" customHeight="1">
      <c r="A48" s="19">
        <v>49</v>
      </c>
      <c r="B48" s="19" t="s">
        <v>194</v>
      </c>
      <c r="C48" s="19" t="s">
        <v>195</v>
      </c>
      <c r="D48" s="31" t="s">
        <v>196</v>
      </c>
      <c r="E48" s="21">
        <v>15413404</v>
      </c>
      <c r="F48" s="22">
        <v>278234.27</v>
      </c>
      <c r="G48" s="23">
        <v>94024.735000000001</v>
      </c>
      <c r="H48" s="23">
        <v>0</v>
      </c>
      <c r="I48" s="23">
        <v>0</v>
      </c>
      <c r="J48" s="23">
        <v>611620.18000000005</v>
      </c>
      <c r="K48" s="24">
        <v>266582.82</v>
      </c>
      <c r="L48" s="24">
        <f t="shared" si="3"/>
        <v>878203</v>
      </c>
      <c r="M48" s="24">
        <f t="shared" si="4"/>
        <v>878203</v>
      </c>
      <c r="N48" s="24">
        <f t="shared" si="5"/>
        <v>972227.7350000001</v>
      </c>
      <c r="O48" s="23">
        <f>187640.11-62357.03</f>
        <v>125283.07999999999</v>
      </c>
      <c r="P48" s="23">
        <v>0</v>
      </c>
      <c r="Q48" s="23">
        <v>0</v>
      </c>
      <c r="R48" s="23">
        <v>611620.18000000005</v>
      </c>
      <c r="S48" s="23">
        <v>207172.82</v>
      </c>
      <c r="T48" s="23">
        <f t="shared" si="6"/>
        <v>818793</v>
      </c>
      <c r="U48" s="23">
        <f t="shared" si="7"/>
        <v>944076.08000000007</v>
      </c>
      <c r="V48" s="16">
        <v>187640.11</v>
      </c>
      <c r="W48" s="16">
        <v>0</v>
      </c>
      <c r="X48" s="16">
        <v>0</v>
      </c>
      <c r="Y48" s="16">
        <f>611620.18+62357.03</f>
        <v>673977.21000000008</v>
      </c>
      <c r="Z48" s="16">
        <f>+Y48+AF48</f>
        <v>917050.00000000012</v>
      </c>
      <c r="AA48" s="25">
        <f t="shared" si="0"/>
        <v>861617.32000000007</v>
      </c>
      <c r="AB48" s="25">
        <f t="shared" si="20"/>
        <v>406947.92499999999</v>
      </c>
      <c r="AC48" s="32">
        <f t="shared" si="20"/>
        <v>0</v>
      </c>
      <c r="AD48" s="27">
        <f t="shared" si="20"/>
        <v>0</v>
      </c>
      <c r="AE48" s="25">
        <f t="shared" si="2"/>
        <v>2370973.21</v>
      </c>
      <c r="AF48" s="25">
        <v>243072.79</v>
      </c>
      <c r="AG48" s="28">
        <f t="shared" si="9"/>
        <v>2614046</v>
      </c>
      <c r="AH48" s="26">
        <f t="shared" si="10"/>
        <v>3020993.9249999998</v>
      </c>
      <c r="AI48" s="27">
        <v>187640.11</v>
      </c>
      <c r="AJ48" s="25">
        <v>0</v>
      </c>
      <c r="AK48" s="32">
        <v>0</v>
      </c>
      <c r="AL48" s="27">
        <v>611620.18000000005</v>
      </c>
      <c r="AM48" s="25">
        <v>361508.82</v>
      </c>
      <c r="AN48" s="28">
        <f t="shared" si="11"/>
        <v>973129</v>
      </c>
      <c r="AO48" s="32">
        <f t="shared" si="12"/>
        <v>1160769.1100000001</v>
      </c>
      <c r="AP48" s="27">
        <f>187640.11+55398.83</f>
        <v>243038.94</v>
      </c>
      <c r="AQ48" s="25">
        <v>0</v>
      </c>
      <c r="AR48" s="32">
        <v>0</v>
      </c>
      <c r="AS48" s="27">
        <v>611620.18000000005</v>
      </c>
      <c r="AT48" s="25">
        <v>274746.82</v>
      </c>
      <c r="AU48" s="25">
        <f t="shared" si="13"/>
        <v>886367</v>
      </c>
      <c r="AV48" s="25">
        <f t="shared" si="14"/>
        <v>1129405.9400000002</v>
      </c>
      <c r="AW48" s="25">
        <v>228336.65</v>
      </c>
      <c r="AX48" s="25">
        <v>0</v>
      </c>
      <c r="AY48" s="25">
        <v>0</v>
      </c>
      <c r="AZ48" s="25">
        <v>611620.18000000005</v>
      </c>
      <c r="BA48" s="25">
        <v>212016.82</v>
      </c>
      <c r="BB48" s="25">
        <f t="shared" si="15"/>
        <v>823637</v>
      </c>
      <c r="BC48" s="25">
        <f t="shared" si="16"/>
        <v>1051973.6500000001</v>
      </c>
      <c r="BD48" s="25">
        <v>159031.67999999999</v>
      </c>
      <c r="BE48" s="25">
        <v>0</v>
      </c>
      <c r="BF48" s="25">
        <v>0</v>
      </c>
      <c r="BG48" s="25">
        <v>611620.18000000005</v>
      </c>
      <c r="BH48" s="25">
        <f t="shared" si="17"/>
        <v>770651.8600000001</v>
      </c>
      <c r="BI48" s="29">
        <v>160274.98000000001</v>
      </c>
      <c r="BJ48" s="29">
        <v>0</v>
      </c>
      <c r="BK48" s="29">
        <v>0</v>
      </c>
      <c r="BL48" s="29">
        <v>611620.18000000005</v>
      </c>
      <c r="BM48" s="29">
        <f t="shared" si="18"/>
        <v>771895.16</v>
      </c>
      <c r="BN48" s="30">
        <f t="shared" si="19"/>
        <v>8183923.9150000019</v>
      </c>
    </row>
    <row r="49" spans="1:68">
      <c r="A49" s="19">
        <v>51</v>
      </c>
      <c r="B49" s="19" t="s">
        <v>197</v>
      </c>
      <c r="C49" s="19" t="s">
        <v>198</v>
      </c>
      <c r="D49" s="31" t="s">
        <v>199</v>
      </c>
      <c r="E49" s="44">
        <v>5919324</v>
      </c>
      <c r="F49" s="22">
        <v>0</v>
      </c>
      <c r="G49" s="23">
        <f>1146680.21-4185.26</f>
        <v>1142494.95</v>
      </c>
      <c r="H49" s="23">
        <v>0</v>
      </c>
      <c r="I49" s="23">
        <v>0</v>
      </c>
      <c r="J49" s="23">
        <v>6476.37</v>
      </c>
      <c r="K49" s="24">
        <v>0</v>
      </c>
      <c r="L49" s="24">
        <f t="shared" si="3"/>
        <v>6476.37</v>
      </c>
      <c r="M49" s="24">
        <f t="shared" si="4"/>
        <v>6476.37</v>
      </c>
      <c r="N49" s="24">
        <f t="shared" si="5"/>
        <v>1148971.32</v>
      </c>
      <c r="O49" s="23">
        <v>1083047.76</v>
      </c>
      <c r="P49" s="23">
        <v>0</v>
      </c>
      <c r="Q49" s="23">
        <v>0</v>
      </c>
      <c r="R49" s="23">
        <v>6476.37</v>
      </c>
      <c r="S49" s="23">
        <v>4347.63</v>
      </c>
      <c r="T49" s="23">
        <f t="shared" si="6"/>
        <v>10824</v>
      </c>
      <c r="U49" s="23">
        <f t="shared" si="7"/>
        <v>1093871.76</v>
      </c>
      <c r="V49" s="16">
        <v>1083047.76</v>
      </c>
      <c r="W49" s="16">
        <v>0</v>
      </c>
      <c r="X49" s="16">
        <v>0</v>
      </c>
      <c r="Y49" s="16">
        <f>6476.37+4185.26</f>
        <v>10661.630000000001</v>
      </c>
      <c r="Z49" s="16">
        <f t="shared" si="8"/>
        <v>10661.630000000001</v>
      </c>
      <c r="AA49" s="25">
        <f t="shared" si="0"/>
        <v>1093709.3899999999</v>
      </c>
      <c r="AB49" s="25">
        <f t="shared" si="20"/>
        <v>3308590.4699999997</v>
      </c>
      <c r="AC49" s="32">
        <f t="shared" si="20"/>
        <v>0</v>
      </c>
      <c r="AD49" s="45">
        <f t="shared" si="20"/>
        <v>0</v>
      </c>
      <c r="AE49" s="25">
        <f t="shared" si="2"/>
        <v>27962.000000000004</v>
      </c>
      <c r="AF49" s="25">
        <v>0</v>
      </c>
      <c r="AG49" s="28">
        <f t="shared" si="9"/>
        <v>27962.000000000004</v>
      </c>
      <c r="AH49" s="26">
        <f t="shared" si="10"/>
        <v>3336552.4699999997</v>
      </c>
      <c r="AI49" s="45">
        <v>1083047.76</v>
      </c>
      <c r="AJ49" s="25">
        <v>0</v>
      </c>
      <c r="AK49" s="32">
        <v>0</v>
      </c>
      <c r="AL49" s="45">
        <v>6476.37</v>
      </c>
      <c r="AM49" s="25">
        <v>7504.63</v>
      </c>
      <c r="AN49" s="28">
        <f t="shared" si="11"/>
        <v>13981</v>
      </c>
      <c r="AO49" s="32">
        <f t="shared" si="12"/>
        <v>1097028.76</v>
      </c>
      <c r="AP49" s="45">
        <v>1083047.76</v>
      </c>
      <c r="AQ49" s="25">
        <v>0</v>
      </c>
      <c r="AR49" s="32">
        <v>0</v>
      </c>
      <c r="AS49" s="45">
        <v>6476.37</v>
      </c>
      <c r="AT49" s="25">
        <v>0</v>
      </c>
      <c r="AU49" s="25">
        <f t="shared" si="13"/>
        <v>6476.37</v>
      </c>
      <c r="AV49" s="25">
        <f t="shared" si="14"/>
        <v>1089524.1300000001</v>
      </c>
      <c r="AW49" s="25">
        <v>1083047.76</v>
      </c>
      <c r="AX49" s="25">
        <v>0</v>
      </c>
      <c r="AY49" s="25">
        <v>0</v>
      </c>
      <c r="AZ49" s="25">
        <v>6476.37</v>
      </c>
      <c r="BA49" s="25">
        <v>739.63</v>
      </c>
      <c r="BB49" s="25">
        <f t="shared" si="15"/>
        <v>7216</v>
      </c>
      <c r="BC49" s="25">
        <f t="shared" si="16"/>
        <v>1090263.76</v>
      </c>
      <c r="BD49" s="25">
        <v>1069761.3999999999</v>
      </c>
      <c r="BE49" s="25">
        <v>0</v>
      </c>
      <c r="BF49" s="25">
        <v>0</v>
      </c>
      <c r="BG49" s="25">
        <v>6476.37</v>
      </c>
      <c r="BH49" s="25">
        <f t="shared" si="17"/>
        <v>1076237.77</v>
      </c>
      <c r="BI49" s="29">
        <v>1072976.25</v>
      </c>
      <c r="BJ49" s="29">
        <v>0</v>
      </c>
      <c r="BK49" s="29">
        <v>0</v>
      </c>
      <c r="BL49" s="29">
        <v>6476.37</v>
      </c>
      <c r="BM49" s="29">
        <f t="shared" si="18"/>
        <v>1079452.6200000001</v>
      </c>
      <c r="BN49" s="30">
        <f t="shared" si="19"/>
        <v>8769059.5099999979</v>
      </c>
    </row>
    <row r="50" spans="1:68">
      <c r="A50" s="19">
        <v>50</v>
      </c>
      <c r="B50" s="19" t="s">
        <v>200</v>
      </c>
      <c r="C50" s="19" t="s">
        <v>201</v>
      </c>
      <c r="D50" s="31" t="s">
        <v>202</v>
      </c>
      <c r="E50" s="21">
        <v>18487139</v>
      </c>
      <c r="F50" s="22">
        <v>0</v>
      </c>
      <c r="G50" s="23">
        <v>265263.74</v>
      </c>
      <c r="H50" s="23">
        <v>0</v>
      </c>
      <c r="I50" s="23">
        <v>0</v>
      </c>
      <c r="J50" s="23">
        <v>0</v>
      </c>
      <c r="K50" s="24">
        <v>0</v>
      </c>
      <c r="L50" s="24">
        <f t="shared" si="3"/>
        <v>0</v>
      </c>
      <c r="M50" s="24">
        <f t="shared" si="4"/>
        <v>0</v>
      </c>
      <c r="N50" s="24">
        <f t="shared" si="5"/>
        <v>265263.74</v>
      </c>
      <c r="O50" s="23">
        <v>265263.74</v>
      </c>
      <c r="P50" s="23">
        <v>0</v>
      </c>
      <c r="Q50" s="23">
        <v>0</v>
      </c>
      <c r="R50" s="23">
        <v>0</v>
      </c>
      <c r="S50" s="23">
        <v>0</v>
      </c>
      <c r="T50" s="23">
        <f t="shared" si="6"/>
        <v>0</v>
      </c>
      <c r="U50" s="23">
        <f t="shared" si="7"/>
        <v>265263.74</v>
      </c>
      <c r="V50" s="16">
        <v>265263.74</v>
      </c>
      <c r="W50" s="16">
        <v>0</v>
      </c>
      <c r="X50" s="16">
        <v>0</v>
      </c>
      <c r="Y50" s="16">
        <v>0</v>
      </c>
      <c r="Z50" s="16">
        <f t="shared" si="8"/>
        <v>0</v>
      </c>
      <c r="AA50" s="25">
        <f t="shared" si="0"/>
        <v>265263.74</v>
      </c>
      <c r="AB50" s="25">
        <f t="shared" si="20"/>
        <v>795791.22</v>
      </c>
      <c r="AC50" s="32">
        <f t="shared" si="20"/>
        <v>0</v>
      </c>
      <c r="AD50" s="27">
        <f t="shared" si="20"/>
        <v>0</v>
      </c>
      <c r="AE50" s="25">
        <f t="shared" si="2"/>
        <v>0</v>
      </c>
      <c r="AF50" s="25">
        <v>0</v>
      </c>
      <c r="AG50" s="28">
        <f t="shared" si="9"/>
        <v>0</v>
      </c>
      <c r="AH50" s="26">
        <f t="shared" si="10"/>
        <v>795791.22</v>
      </c>
      <c r="AI50" s="27">
        <v>265263.74</v>
      </c>
      <c r="AJ50" s="25">
        <v>0</v>
      </c>
      <c r="AK50" s="32">
        <v>0</v>
      </c>
      <c r="AL50" s="27">
        <v>0</v>
      </c>
      <c r="AM50" s="25">
        <v>0</v>
      </c>
      <c r="AN50" s="28">
        <f t="shared" si="11"/>
        <v>0</v>
      </c>
      <c r="AO50" s="32">
        <f t="shared" si="12"/>
        <v>265263.74</v>
      </c>
      <c r="AP50" s="27">
        <v>265263.74</v>
      </c>
      <c r="AQ50" s="25">
        <v>0</v>
      </c>
      <c r="AR50" s="32">
        <v>0</v>
      </c>
      <c r="AS50" s="27">
        <v>0</v>
      </c>
      <c r="AT50" s="25">
        <v>0</v>
      </c>
      <c r="AU50" s="25">
        <f t="shared" si="13"/>
        <v>0</v>
      </c>
      <c r="AV50" s="25">
        <f t="shared" si="14"/>
        <v>265263.74</v>
      </c>
      <c r="AW50" s="25">
        <v>265263.74</v>
      </c>
      <c r="AX50" s="25">
        <v>0</v>
      </c>
      <c r="AY50" s="25">
        <v>0</v>
      </c>
      <c r="AZ50" s="25">
        <v>0</v>
      </c>
      <c r="BA50" s="25">
        <v>0</v>
      </c>
      <c r="BB50" s="25">
        <f t="shared" si="15"/>
        <v>0</v>
      </c>
      <c r="BC50" s="25">
        <f t="shared" si="16"/>
        <v>265263.74</v>
      </c>
      <c r="BD50" s="25">
        <v>310864.71000000002</v>
      </c>
      <c r="BE50" s="25">
        <v>0</v>
      </c>
      <c r="BF50" s="25">
        <v>0</v>
      </c>
      <c r="BG50" s="25">
        <v>0</v>
      </c>
      <c r="BH50" s="25">
        <f t="shared" si="17"/>
        <v>310864.71000000002</v>
      </c>
      <c r="BI50" s="29">
        <v>307501.96999999997</v>
      </c>
      <c r="BJ50" s="29">
        <v>0</v>
      </c>
      <c r="BK50" s="29">
        <v>0</v>
      </c>
      <c r="BL50" s="29">
        <v>0</v>
      </c>
      <c r="BM50" s="29">
        <f t="shared" si="18"/>
        <v>307501.96999999997</v>
      </c>
      <c r="BN50" s="30">
        <f t="shared" si="19"/>
        <v>2209949.12</v>
      </c>
    </row>
    <row r="51" spans="1:68">
      <c r="A51" s="19">
        <v>54</v>
      </c>
      <c r="B51" s="19" t="s">
        <v>203</v>
      </c>
      <c r="C51" s="19" t="s">
        <v>204</v>
      </c>
      <c r="D51" s="31" t="s">
        <v>205</v>
      </c>
      <c r="E51" s="21">
        <v>15852353</v>
      </c>
      <c r="F51" s="22">
        <v>0</v>
      </c>
      <c r="G51" s="23">
        <v>0</v>
      </c>
      <c r="H51" s="23">
        <v>0</v>
      </c>
      <c r="I51" s="23">
        <v>0</v>
      </c>
      <c r="J51" s="23">
        <v>304313.5</v>
      </c>
      <c r="K51" s="24">
        <v>0</v>
      </c>
      <c r="L51" s="24">
        <f t="shared" si="3"/>
        <v>304313.5</v>
      </c>
      <c r="M51" s="24">
        <f t="shared" si="4"/>
        <v>304313.5</v>
      </c>
      <c r="N51" s="24">
        <f t="shared" si="5"/>
        <v>304313.5</v>
      </c>
      <c r="O51" s="23">
        <v>0</v>
      </c>
      <c r="P51" s="23">
        <v>0</v>
      </c>
      <c r="Q51" s="23">
        <v>0</v>
      </c>
      <c r="R51" s="23">
        <v>256640</v>
      </c>
      <c r="S51" s="23">
        <v>0</v>
      </c>
      <c r="T51" s="23">
        <f t="shared" si="6"/>
        <v>256640</v>
      </c>
      <c r="U51" s="23">
        <f t="shared" si="7"/>
        <v>256640</v>
      </c>
      <c r="V51" s="16">
        <v>0</v>
      </c>
      <c r="W51" s="16">
        <v>0</v>
      </c>
      <c r="X51" s="16">
        <v>0</v>
      </c>
      <c r="Y51" s="16">
        <v>256640</v>
      </c>
      <c r="Z51" s="16">
        <f t="shared" si="8"/>
        <v>256640</v>
      </c>
      <c r="AA51" s="25">
        <f t="shared" si="0"/>
        <v>256640</v>
      </c>
      <c r="AB51" s="25">
        <f t="shared" si="20"/>
        <v>0</v>
      </c>
      <c r="AC51" s="32">
        <f t="shared" si="20"/>
        <v>0</v>
      </c>
      <c r="AD51" s="27">
        <f t="shared" si="20"/>
        <v>0</v>
      </c>
      <c r="AE51" s="25">
        <f t="shared" si="2"/>
        <v>817593.5</v>
      </c>
      <c r="AF51" s="25">
        <v>0</v>
      </c>
      <c r="AG51" s="28">
        <f t="shared" si="9"/>
        <v>817593.5</v>
      </c>
      <c r="AH51" s="26">
        <f t="shared" si="10"/>
        <v>817593.5</v>
      </c>
      <c r="AI51" s="27">
        <v>0</v>
      </c>
      <c r="AJ51" s="25">
        <v>0</v>
      </c>
      <c r="AK51" s="32">
        <v>0</v>
      </c>
      <c r="AL51" s="27">
        <v>256640</v>
      </c>
      <c r="AM51" s="25">
        <v>0</v>
      </c>
      <c r="AN51" s="28">
        <f t="shared" si="11"/>
        <v>256640</v>
      </c>
      <c r="AO51" s="32">
        <f t="shared" si="12"/>
        <v>256640</v>
      </c>
      <c r="AP51" s="27">
        <v>0</v>
      </c>
      <c r="AQ51" s="25">
        <v>0</v>
      </c>
      <c r="AR51" s="32">
        <v>0</v>
      </c>
      <c r="AS51" s="27">
        <v>256640</v>
      </c>
      <c r="AT51" s="25">
        <v>0</v>
      </c>
      <c r="AU51" s="25">
        <f t="shared" si="13"/>
        <v>256640</v>
      </c>
      <c r="AV51" s="25">
        <f t="shared" si="14"/>
        <v>256640</v>
      </c>
      <c r="AW51" s="25">
        <v>0</v>
      </c>
      <c r="AX51" s="25">
        <v>0</v>
      </c>
      <c r="AY51" s="25">
        <v>0</v>
      </c>
      <c r="AZ51" s="25">
        <v>256640</v>
      </c>
      <c r="BA51" s="25">
        <v>0</v>
      </c>
      <c r="BB51" s="25">
        <f t="shared" si="15"/>
        <v>256640</v>
      </c>
      <c r="BC51" s="25">
        <f t="shared" si="16"/>
        <v>256640</v>
      </c>
      <c r="BD51" s="25">
        <v>0</v>
      </c>
      <c r="BE51" s="25">
        <v>0</v>
      </c>
      <c r="BF51" s="25">
        <v>0</v>
      </c>
      <c r="BG51" s="25">
        <v>210626.4</v>
      </c>
      <c r="BH51" s="25">
        <f t="shared" si="17"/>
        <v>210626.4</v>
      </c>
      <c r="BI51" s="29">
        <v>0</v>
      </c>
      <c r="BJ51" s="29">
        <v>0</v>
      </c>
      <c r="BK51" s="29">
        <v>0</v>
      </c>
      <c r="BL51" s="29">
        <v>199090.17</v>
      </c>
      <c r="BM51" s="29">
        <f t="shared" si="18"/>
        <v>199090.17</v>
      </c>
      <c r="BN51" s="30">
        <f t="shared" si="19"/>
        <v>1997230.0699999998</v>
      </c>
    </row>
    <row r="52" spans="1:68" ht="30">
      <c r="A52" s="19">
        <v>52</v>
      </c>
      <c r="B52" s="33" t="s">
        <v>206</v>
      </c>
      <c r="C52" s="33" t="s">
        <v>207</v>
      </c>
      <c r="D52" s="31" t="s">
        <v>208</v>
      </c>
      <c r="E52" s="21">
        <v>16273767</v>
      </c>
      <c r="F52" s="22">
        <v>0</v>
      </c>
      <c r="G52" s="23">
        <v>462010.84</v>
      </c>
      <c r="H52" s="23">
        <v>0</v>
      </c>
      <c r="I52" s="23">
        <v>0</v>
      </c>
      <c r="J52" s="23">
        <v>69420.17</v>
      </c>
      <c r="K52" s="24">
        <v>48658.83</v>
      </c>
      <c r="L52" s="24">
        <f t="shared" si="3"/>
        <v>118079</v>
      </c>
      <c r="M52" s="24">
        <f t="shared" si="4"/>
        <v>118079</v>
      </c>
      <c r="N52" s="24">
        <f t="shared" si="5"/>
        <v>580089.84</v>
      </c>
      <c r="O52" s="23">
        <f>462010.84+12688.84</f>
        <v>474699.68000000005</v>
      </c>
      <c r="P52" s="23">
        <v>0</v>
      </c>
      <c r="Q52" s="23">
        <v>0</v>
      </c>
      <c r="R52" s="23">
        <v>69420.17</v>
      </c>
      <c r="S52" s="23">
        <v>56159.83</v>
      </c>
      <c r="T52" s="23">
        <f t="shared" si="6"/>
        <v>125580</v>
      </c>
      <c r="U52" s="23">
        <f t="shared" si="7"/>
        <v>600279.68000000005</v>
      </c>
      <c r="V52" s="16">
        <f>462010.84+89976.46</f>
        <v>551987.30000000005</v>
      </c>
      <c r="W52" s="16">
        <v>0</v>
      </c>
      <c r="X52" s="16">
        <v>0</v>
      </c>
      <c r="Y52" s="16">
        <v>69420.17</v>
      </c>
      <c r="Z52" s="16">
        <f t="shared" si="8"/>
        <v>127527</v>
      </c>
      <c r="AA52" s="25">
        <f t="shared" si="0"/>
        <v>621407.47000000009</v>
      </c>
      <c r="AB52" s="25">
        <f t="shared" si="20"/>
        <v>1488697.82</v>
      </c>
      <c r="AC52" s="32">
        <f t="shared" si="20"/>
        <v>0</v>
      </c>
      <c r="AD52" s="27">
        <f t="shared" si="20"/>
        <v>0</v>
      </c>
      <c r="AE52" s="25">
        <f t="shared" si="2"/>
        <v>313079.17000000004</v>
      </c>
      <c r="AF52" s="25">
        <v>58106.83</v>
      </c>
      <c r="AG52" s="28">
        <f t="shared" si="9"/>
        <v>371186.00000000006</v>
      </c>
      <c r="AH52" s="26">
        <f t="shared" si="10"/>
        <v>1859883.82</v>
      </c>
      <c r="AI52" s="27">
        <v>462010.84</v>
      </c>
      <c r="AJ52" s="25">
        <v>0</v>
      </c>
      <c r="AK52" s="32">
        <v>0</v>
      </c>
      <c r="AL52" s="27">
        <v>69420.17</v>
      </c>
      <c r="AM52" s="25">
        <v>54319.83</v>
      </c>
      <c r="AN52" s="28">
        <f t="shared" si="11"/>
        <v>123740</v>
      </c>
      <c r="AO52" s="32">
        <f t="shared" si="12"/>
        <v>585750.84</v>
      </c>
      <c r="AP52" s="27">
        <f>462010.84+118727.88</f>
        <v>580738.72</v>
      </c>
      <c r="AQ52" s="25">
        <v>0</v>
      </c>
      <c r="AR52" s="32">
        <v>0</v>
      </c>
      <c r="AS52" s="27">
        <v>69420.17</v>
      </c>
      <c r="AT52" s="25">
        <v>34218.83</v>
      </c>
      <c r="AU52" s="25">
        <f t="shared" si="13"/>
        <v>103639</v>
      </c>
      <c r="AV52" s="25">
        <f t="shared" si="14"/>
        <v>684377.72</v>
      </c>
      <c r="AW52" s="25">
        <v>462010.84</v>
      </c>
      <c r="AX52" s="25">
        <v>0</v>
      </c>
      <c r="AY52" s="25">
        <v>0</v>
      </c>
      <c r="AZ52" s="25">
        <v>69420.17</v>
      </c>
      <c r="BA52" s="25">
        <v>25732.83</v>
      </c>
      <c r="BB52" s="25">
        <f t="shared" si="15"/>
        <v>95153</v>
      </c>
      <c r="BC52" s="25">
        <f t="shared" si="16"/>
        <v>557163.84</v>
      </c>
      <c r="BD52" s="25">
        <f>487909.61+92829.11</f>
        <v>580738.72</v>
      </c>
      <c r="BE52" s="25">
        <v>0</v>
      </c>
      <c r="BF52" s="25">
        <v>0</v>
      </c>
      <c r="BG52" s="25">
        <v>69420.17</v>
      </c>
      <c r="BH52" s="25">
        <f t="shared" si="17"/>
        <v>650158.89</v>
      </c>
      <c r="BI52" s="29">
        <v>487909.61</v>
      </c>
      <c r="BJ52" s="29">
        <v>0</v>
      </c>
      <c r="BK52" s="29">
        <v>0</v>
      </c>
      <c r="BL52" s="29">
        <v>69420.17</v>
      </c>
      <c r="BM52" s="29">
        <f t="shared" si="18"/>
        <v>557329.78</v>
      </c>
      <c r="BN52" s="30">
        <f t="shared" si="19"/>
        <v>4894664.8899999997</v>
      </c>
    </row>
    <row r="53" spans="1:68">
      <c r="A53" s="19">
        <v>53</v>
      </c>
      <c r="B53" s="19" t="s">
        <v>209</v>
      </c>
      <c r="C53" s="19" t="s">
        <v>210</v>
      </c>
      <c r="D53" s="31" t="s">
        <v>211</v>
      </c>
      <c r="E53" s="21">
        <v>17035542</v>
      </c>
      <c r="F53" s="22">
        <v>12883.59</v>
      </c>
      <c r="G53" s="23">
        <v>0</v>
      </c>
      <c r="H53" s="23">
        <v>0</v>
      </c>
      <c r="I53" s="23">
        <v>0</v>
      </c>
      <c r="J53" s="23">
        <v>15992.92</v>
      </c>
      <c r="K53" s="24">
        <v>7255.08</v>
      </c>
      <c r="L53" s="24">
        <f t="shared" si="3"/>
        <v>23248</v>
      </c>
      <c r="M53" s="24">
        <f t="shared" si="4"/>
        <v>23248</v>
      </c>
      <c r="N53" s="24">
        <f t="shared" si="5"/>
        <v>23248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f t="shared" si="6"/>
        <v>0</v>
      </c>
      <c r="U53" s="23">
        <f t="shared" si="7"/>
        <v>0</v>
      </c>
      <c r="V53" s="16">
        <v>0</v>
      </c>
      <c r="W53" s="16">
        <v>0</v>
      </c>
      <c r="X53" s="16">
        <v>0</v>
      </c>
      <c r="Y53" s="16">
        <v>15992.92</v>
      </c>
      <c r="Z53" s="16">
        <f t="shared" si="8"/>
        <v>31488</v>
      </c>
      <c r="AA53" s="25">
        <f t="shared" si="0"/>
        <v>15992.92</v>
      </c>
      <c r="AB53" s="25">
        <f t="shared" si="20"/>
        <v>0</v>
      </c>
      <c r="AC53" s="32">
        <f t="shared" si="20"/>
        <v>0</v>
      </c>
      <c r="AD53" s="27">
        <f t="shared" si="20"/>
        <v>0</v>
      </c>
      <c r="AE53" s="25">
        <f t="shared" si="2"/>
        <v>39240.92</v>
      </c>
      <c r="AF53" s="25">
        <v>15495.08</v>
      </c>
      <c r="AG53" s="28">
        <f t="shared" si="9"/>
        <v>54736</v>
      </c>
      <c r="AH53" s="26">
        <f t="shared" si="10"/>
        <v>54736</v>
      </c>
      <c r="AI53" s="27">
        <v>0</v>
      </c>
      <c r="AJ53" s="25">
        <v>0</v>
      </c>
      <c r="AK53" s="32">
        <v>0</v>
      </c>
      <c r="AL53" s="27">
        <v>15992.92</v>
      </c>
      <c r="AM53" s="25">
        <v>19831.080000000002</v>
      </c>
      <c r="AN53" s="28">
        <f t="shared" si="11"/>
        <v>35824</v>
      </c>
      <c r="AO53" s="32">
        <f t="shared" si="12"/>
        <v>35824</v>
      </c>
      <c r="AP53" s="27">
        <v>0</v>
      </c>
      <c r="AQ53" s="25">
        <v>0</v>
      </c>
      <c r="AR53" s="32">
        <v>0</v>
      </c>
      <c r="AS53" s="27">
        <v>15992.92</v>
      </c>
      <c r="AT53" s="25">
        <v>11649.08</v>
      </c>
      <c r="AU53" s="25">
        <f t="shared" si="13"/>
        <v>27642</v>
      </c>
      <c r="AV53" s="25">
        <f t="shared" si="14"/>
        <v>27642</v>
      </c>
      <c r="AW53" s="25">
        <v>0</v>
      </c>
      <c r="AX53" s="25">
        <v>0</v>
      </c>
      <c r="AY53" s="25">
        <v>0</v>
      </c>
      <c r="AZ53" s="25">
        <v>15992.92</v>
      </c>
      <c r="BA53" s="25">
        <v>12771.08</v>
      </c>
      <c r="BB53" s="25">
        <f t="shared" si="15"/>
        <v>28764</v>
      </c>
      <c r="BC53" s="25">
        <f t="shared" si="16"/>
        <v>28764</v>
      </c>
      <c r="BD53" s="25">
        <v>0</v>
      </c>
      <c r="BE53" s="25">
        <v>0</v>
      </c>
      <c r="BF53" s="25">
        <v>0</v>
      </c>
      <c r="BG53" s="25">
        <v>15992.92</v>
      </c>
      <c r="BH53" s="25">
        <f t="shared" si="17"/>
        <v>15992.92</v>
      </c>
      <c r="BI53" s="29">
        <v>0</v>
      </c>
      <c r="BJ53" s="29">
        <v>0</v>
      </c>
      <c r="BK53" s="29">
        <v>0</v>
      </c>
      <c r="BL53" s="29">
        <v>15992.92</v>
      </c>
      <c r="BM53" s="29">
        <f t="shared" si="18"/>
        <v>15992.92</v>
      </c>
      <c r="BN53" s="30">
        <f t="shared" si="19"/>
        <v>191835.43000000002</v>
      </c>
    </row>
    <row r="54" spans="1:68" ht="15.75" customHeight="1">
      <c r="A54" s="19">
        <v>55</v>
      </c>
      <c r="B54" s="19" t="s">
        <v>212</v>
      </c>
      <c r="C54" s="19" t="s">
        <v>213</v>
      </c>
      <c r="D54" s="31" t="s">
        <v>214</v>
      </c>
      <c r="E54" s="21">
        <v>17010254</v>
      </c>
      <c r="F54" s="22">
        <v>0</v>
      </c>
      <c r="G54" s="23">
        <v>0</v>
      </c>
      <c r="H54" s="23">
        <v>0</v>
      </c>
      <c r="I54" s="23">
        <v>0</v>
      </c>
      <c r="J54" s="23">
        <v>53844</v>
      </c>
      <c r="K54" s="24">
        <v>14189</v>
      </c>
      <c r="L54" s="24">
        <f t="shared" si="3"/>
        <v>68033</v>
      </c>
      <c r="M54" s="24">
        <f t="shared" si="4"/>
        <v>68033</v>
      </c>
      <c r="N54" s="24">
        <f t="shared" si="5"/>
        <v>68033</v>
      </c>
      <c r="O54" s="23">
        <v>0</v>
      </c>
      <c r="P54" s="23">
        <v>0</v>
      </c>
      <c r="Q54" s="23">
        <v>0</v>
      </c>
      <c r="R54" s="23">
        <v>51520</v>
      </c>
      <c r="S54" s="23">
        <v>12068</v>
      </c>
      <c r="T54" s="23">
        <f t="shared" si="6"/>
        <v>63588</v>
      </c>
      <c r="U54" s="23">
        <f t="shared" si="7"/>
        <v>63588</v>
      </c>
      <c r="V54" s="16">
        <v>0</v>
      </c>
      <c r="W54" s="16">
        <v>0</v>
      </c>
      <c r="X54" s="16">
        <v>0</v>
      </c>
      <c r="Y54" s="16">
        <v>68033</v>
      </c>
      <c r="Z54" s="16">
        <f t="shared" si="8"/>
        <v>68033</v>
      </c>
      <c r="AA54" s="25">
        <f t="shared" si="0"/>
        <v>68033</v>
      </c>
      <c r="AB54" s="25">
        <f t="shared" si="20"/>
        <v>0</v>
      </c>
      <c r="AC54" s="32">
        <f t="shared" si="20"/>
        <v>0</v>
      </c>
      <c r="AD54" s="27">
        <f t="shared" si="20"/>
        <v>0</v>
      </c>
      <c r="AE54" s="25">
        <f t="shared" si="2"/>
        <v>199654</v>
      </c>
      <c r="AF54" s="25">
        <v>0</v>
      </c>
      <c r="AG54" s="28">
        <f t="shared" si="9"/>
        <v>199654</v>
      </c>
      <c r="AH54" s="26">
        <f t="shared" si="10"/>
        <v>199654</v>
      </c>
      <c r="AI54" s="27">
        <v>0</v>
      </c>
      <c r="AJ54" s="25">
        <v>0</v>
      </c>
      <c r="AK54" s="32">
        <v>0</v>
      </c>
      <c r="AL54" s="27">
        <v>68033</v>
      </c>
      <c r="AM54" s="25">
        <v>2984</v>
      </c>
      <c r="AN54" s="28">
        <f t="shared" si="11"/>
        <v>71017</v>
      </c>
      <c r="AO54" s="32">
        <f t="shared" si="12"/>
        <v>71017</v>
      </c>
      <c r="AP54" s="27">
        <v>0</v>
      </c>
      <c r="AQ54" s="25">
        <v>0</v>
      </c>
      <c r="AR54" s="32">
        <v>0</v>
      </c>
      <c r="AS54" s="27">
        <v>68033</v>
      </c>
      <c r="AT54" s="25">
        <v>0</v>
      </c>
      <c r="AU54" s="25">
        <f t="shared" si="13"/>
        <v>68033</v>
      </c>
      <c r="AV54" s="25">
        <f t="shared" si="14"/>
        <v>68033</v>
      </c>
      <c r="AW54" s="25">
        <v>0</v>
      </c>
      <c r="AX54" s="25">
        <v>0</v>
      </c>
      <c r="AY54" s="25">
        <v>0</v>
      </c>
      <c r="AZ54" s="25">
        <v>71017</v>
      </c>
      <c r="BA54" s="25">
        <v>0</v>
      </c>
      <c r="BB54" s="25">
        <f t="shared" si="15"/>
        <v>71017</v>
      </c>
      <c r="BC54" s="25">
        <f t="shared" si="16"/>
        <v>71017</v>
      </c>
      <c r="BD54" s="25">
        <v>0</v>
      </c>
      <c r="BE54" s="25">
        <v>0</v>
      </c>
      <c r="BF54" s="25">
        <v>0</v>
      </c>
      <c r="BG54" s="25">
        <v>66694.8</v>
      </c>
      <c r="BH54" s="25">
        <f t="shared" si="17"/>
        <v>66694.8</v>
      </c>
      <c r="BI54" s="29">
        <v>0</v>
      </c>
      <c r="BJ54" s="29">
        <v>0</v>
      </c>
      <c r="BK54" s="29">
        <v>0</v>
      </c>
      <c r="BL54" s="29">
        <v>65790.5</v>
      </c>
      <c r="BM54" s="29">
        <f t="shared" si="18"/>
        <v>65790.5</v>
      </c>
      <c r="BN54" s="30">
        <f t="shared" si="19"/>
        <v>542206.30000000005</v>
      </c>
    </row>
    <row r="55" spans="1:68">
      <c r="A55" s="19">
        <v>57</v>
      </c>
      <c r="B55" s="19" t="s">
        <v>215</v>
      </c>
      <c r="C55" s="19" t="s">
        <v>216</v>
      </c>
      <c r="D55" s="31" t="s">
        <v>217</v>
      </c>
      <c r="E55" s="21">
        <v>26630352</v>
      </c>
      <c r="F55" s="22">
        <v>25651.25</v>
      </c>
      <c r="G55" s="23">
        <v>1300808.3900000001</v>
      </c>
      <c r="H55" s="23">
        <v>0</v>
      </c>
      <c r="I55" s="23">
        <v>0</v>
      </c>
      <c r="J55" s="23">
        <v>460104.98</v>
      </c>
      <c r="K55" s="24">
        <v>41822.019999999997</v>
      </c>
      <c r="L55" s="24">
        <f t="shared" si="3"/>
        <v>501927</v>
      </c>
      <c r="M55" s="24">
        <f t="shared" si="4"/>
        <v>501927</v>
      </c>
      <c r="N55" s="24">
        <f t="shared" si="5"/>
        <v>1802735.3900000001</v>
      </c>
      <c r="O55" s="23">
        <v>1315818.8233333335</v>
      </c>
      <c r="P55" s="23">
        <v>0</v>
      </c>
      <c r="Q55" s="23">
        <v>0</v>
      </c>
      <c r="R55" s="23">
        <v>459769</v>
      </c>
      <c r="S55" s="23">
        <v>96790</v>
      </c>
      <c r="T55" s="23">
        <f t="shared" si="6"/>
        <v>556559</v>
      </c>
      <c r="U55" s="23">
        <f t="shared" si="7"/>
        <v>1872377.8233333335</v>
      </c>
      <c r="V55" s="16">
        <f>1315818.82+88089.95</f>
        <v>1403908.77</v>
      </c>
      <c r="W55" s="16">
        <v>0</v>
      </c>
      <c r="X55" s="16">
        <v>0</v>
      </c>
      <c r="Y55" s="16">
        <v>460104.98</v>
      </c>
      <c r="Z55" s="16">
        <f t="shared" si="8"/>
        <v>578359</v>
      </c>
      <c r="AA55" s="25">
        <f t="shared" si="0"/>
        <v>1864013.75</v>
      </c>
      <c r="AB55" s="25">
        <f t="shared" si="20"/>
        <v>4020535.9833333339</v>
      </c>
      <c r="AC55" s="32">
        <f t="shared" si="20"/>
        <v>0</v>
      </c>
      <c r="AD55" s="27">
        <f t="shared" si="20"/>
        <v>0</v>
      </c>
      <c r="AE55" s="25">
        <f t="shared" si="2"/>
        <v>1518590.98</v>
      </c>
      <c r="AF55" s="25">
        <v>118254.02</v>
      </c>
      <c r="AG55" s="28">
        <f t="shared" si="9"/>
        <v>1636845</v>
      </c>
      <c r="AH55" s="26">
        <f t="shared" si="10"/>
        <v>5657380.9833333343</v>
      </c>
      <c r="AI55" s="27">
        <v>1326724.9649999999</v>
      </c>
      <c r="AJ55" s="25">
        <v>0</v>
      </c>
      <c r="AK55" s="32">
        <v>0</v>
      </c>
      <c r="AL55" s="27">
        <v>460104.98</v>
      </c>
      <c r="AM55" s="25">
        <v>97643.02</v>
      </c>
      <c r="AN55" s="28">
        <f t="shared" si="11"/>
        <v>557748</v>
      </c>
      <c r="AO55" s="32">
        <f t="shared" si="12"/>
        <v>1884472.9649999999</v>
      </c>
      <c r="AP55" s="27">
        <f>1403908.77+216148.72</f>
        <v>1620057.49</v>
      </c>
      <c r="AQ55" s="25">
        <v>0</v>
      </c>
      <c r="AR55" s="32">
        <v>0</v>
      </c>
      <c r="AS55" s="27">
        <v>460104.98</v>
      </c>
      <c r="AT55" s="25">
        <v>64218.02</v>
      </c>
      <c r="AU55" s="25">
        <f t="shared" si="13"/>
        <v>524323</v>
      </c>
      <c r="AV55" s="25">
        <f t="shared" si="14"/>
        <v>2144380.4899999998</v>
      </c>
      <c r="AW55" s="25">
        <v>1620057.49</v>
      </c>
      <c r="AX55" s="25">
        <v>0</v>
      </c>
      <c r="AY55" s="25">
        <v>0</v>
      </c>
      <c r="AZ55" s="25">
        <v>460104.98</v>
      </c>
      <c r="BA55" s="25">
        <v>103510.02</v>
      </c>
      <c r="BB55" s="25">
        <f t="shared" si="15"/>
        <v>563615</v>
      </c>
      <c r="BC55" s="25">
        <f t="shared" si="16"/>
        <v>2183672.4899999998</v>
      </c>
      <c r="BD55" s="25">
        <v>1403313.9</v>
      </c>
      <c r="BE55" s="25">
        <v>0</v>
      </c>
      <c r="BF55" s="25">
        <v>0</v>
      </c>
      <c r="BG55" s="25">
        <v>460104.98</v>
      </c>
      <c r="BH55" s="25">
        <f t="shared" si="17"/>
        <v>1863418.8799999999</v>
      </c>
      <c r="BI55" s="29">
        <v>1430341.9</v>
      </c>
      <c r="BJ55" s="29">
        <v>0</v>
      </c>
      <c r="BK55" s="29">
        <v>0</v>
      </c>
      <c r="BL55" s="29">
        <v>460104.98</v>
      </c>
      <c r="BM55" s="29">
        <f t="shared" si="18"/>
        <v>1890446.88</v>
      </c>
      <c r="BN55" s="30">
        <f t="shared" si="19"/>
        <v>15649423.938333333</v>
      </c>
    </row>
    <row r="56" spans="1:68">
      <c r="A56" s="19">
        <v>56</v>
      </c>
      <c r="B56" s="19" t="s">
        <v>218</v>
      </c>
      <c r="C56" s="19" t="s">
        <v>219</v>
      </c>
      <c r="D56" s="31" t="s">
        <v>220</v>
      </c>
      <c r="E56" s="21">
        <v>12530000</v>
      </c>
      <c r="F56" s="22">
        <v>0</v>
      </c>
      <c r="G56" s="23">
        <v>5465304.0899999999</v>
      </c>
      <c r="H56" s="23">
        <v>0</v>
      </c>
      <c r="I56" s="23">
        <v>0</v>
      </c>
      <c r="J56" s="23">
        <v>310132</v>
      </c>
      <c r="K56" s="24">
        <v>0</v>
      </c>
      <c r="L56" s="24">
        <f t="shared" si="3"/>
        <v>310132</v>
      </c>
      <c r="M56" s="24">
        <f t="shared" si="4"/>
        <v>310132</v>
      </c>
      <c r="N56" s="24">
        <f t="shared" si="5"/>
        <v>5775436.0899999999</v>
      </c>
      <c r="O56" s="23">
        <v>5209085.63</v>
      </c>
      <c r="P56" s="23">
        <v>0</v>
      </c>
      <c r="Q56" s="23">
        <v>0</v>
      </c>
      <c r="R56" s="23">
        <v>302801</v>
      </c>
      <c r="S56" s="23">
        <v>0</v>
      </c>
      <c r="T56" s="23">
        <f t="shared" si="6"/>
        <v>302801</v>
      </c>
      <c r="U56" s="23">
        <f t="shared" si="7"/>
        <v>5511886.6299999999</v>
      </c>
      <c r="V56" s="16">
        <v>5209085.63</v>
      </c>
      <c r="W56" s="16">
        <v>0</v>
      </c>
      <c r="X56" s="16">
        <v>0</v>
      </c>
      <c r="Y56" s="16">
        <v>302801</v>
      </c>
      <c r="Z56" s="16">
        <f t="shared" si="8"/>
        <v>302801</v>
      </c>
      <c r="AA56" s="25">
        <f t="shared" si="0"/>
        <v>5511886.6299999999</v>
      </c>
      <c r="AB56" s="25">
        <f t="shared" si="20"/>
        <v>15883475.349999998</v>
      </c>
      <c r="AC56" s="32">
        <f t="shared" si="20"/>
        <v>0</v>
      </c>
      <c r="AD56" s="27">
        <f t="shared" si="20"/>
        <v>0</v>
      </c>
      <c r="AE56" s="25">
        <f t="shared" si="2"/>
        <v>915734</v>
      </c>
      <c r="AF56" s="25">
        <v>0</v>
      </c>
      <c r="AG56" s="28">
        <f t="shared" si="9"/>
        <v>915734</v>
      </c>
      <c r="AH56" s="26">
        <f t="shared" si="10"/>
        <v>16799209.349999998</v>
      </c>
      <c r="AI56" s="27">
        <v>5209085.63</v>
      </c>
      <c r="AJ56" s="25">
        <v>0</v>
      </c>
      <c r="AK56" s="32">
        <v>0</v>
      </c>
      <c r="AL56" s="27">
        <v>302801</v>
      </c>
      <c r="AM56" s="25">
        <v>0</v>
      </c>
      <c r="AN56" s="28">
        <f t="shared" si="11"/>
        <v>302801</v>
      </c>
      <c r="AO56" s="32">
        <f t="shared" si="12"/>
        <v>5511886.6299999999</v>
      </c>
      <c r="AP56" s="27">
        <v>5209085.63</v>
      </c>
      <c r="AQ56" s="25">
        <v>0</v>
      </c>
      <c r="AR56" s="32">
        <v>0</v>
      </c>
      <c r="AS56" s="27">
        <v>302801</v>
      </c>
      <c r="AT56" s="25">
        <v>0</v>
      </c>
      <c r="AU56" s="25">
        <f t="shared" si="13"/>
        <v>302801</v>
      </c>
      <c r="AV56" s="25">
        <f t="shared" si="14"/>
        <v>5511886.6299999999</v>
      </c>
      <c r="AW56" s="25">
        <v>5839881.0899999999</v>
      </c>
      <c r="AX56" s="25">
        <v>0</v>
      </c>
      <c r="AY56" s="25">
        <v>0</v>
      </c>
      <c r="AZ56" s="25">
        <v>302801</v>
      </c>
      <c r="BA56" s="25">
        <v>0</v>
      </c>
      <c r="BB56" s="25">
        <f t="shared" si="15"/>
        <v>302801</v>
      </c>
      <c r="BC56" s="25">
        <f t="shared" si="16"/>
        <v>6142682.0899999999</v>
      </c>
      <c r="BD56" s="25">
        <v>5001367.6500000004</v>
      </c>
      <c r="BE56" s="25">
        <v>0</v>
      </c>
      <c r="BF56" s="25">
        <v>0</v>
      </c>
      <c r="BG56" s="25">
        <v>290076.40000000002</v>
      </c>
      <c r="BH56" s="25">
        <f t="shared" si="17"/>
        <v>5291444.0500000007</v>
      </c>
      <c r="BI56" s="29">
        <v>4964433.8600000003</v>
      </c>
      <c r="BJ56" s="29">
        <v>0</v>
      </c>
      <c r="BK56" s="29">
        <v>0</v>
      </c>
      <c r="BL56" s="29">
        <v>290473.17</v>
      </c>
      <c r="BM56" s="29">
        <f t="shared" si="18"/>
        <v>5254907.03</v>
      </c>
      <c r="BN56" s="30">
        <f t="shared" si="19"/>
        <v>44512015.780000001</v>
      </c>
    </row>
    <row r="57" spans="1:68">
      <c r="A57" s="19">
        <v>59</v>
      </c>
      <c r="B57" s="19" t="s">
        <v>221</v>
      </c>
      <c r="C57" s="19" t="s">
        <v>222</v>
      </c>
      <c r="D57" s="31" t="s">
        <v>223</v>
      </c>
      <c r="E57" s="21">
        <v>26276418</v>
      </c>
      <c r="F57" s="22">
        <v>172101.55</v>
      </c>
      <c r="G57" s="23">
        <v>0</v>
      </c>
      <c r="H57" s="23">
        <v>0</v>
      </c>
      <c r="I57" s="23">
        <v>0</v>
      </c>
      <c r="J57" s="23">
        <v>565535.43000000005</v>
      </c>
      <c r="K57" s="24">
        <v>169586.57</v>
      </c>
      <c r="L57" s="24">
        <f t="shared" si="3"/>
        <v>735122</v>
      </c>
      <c r="M57" s="24">
        <f t="shared" si="4"/>
        <v>735122</v>
      </c>
      <c r="N57" s="24">
        <f t="shared" si="5"/>
        <v>735122</v>
      </c>
      <c r="O57" s="23">
        <v>0</v>
      </c>
      <c r="P57" s="23">
        <v>0</v>
      </c>
      <c r="Q57" s="23">
        <v>0</v>
      </c>
      <c r="R57" s="23">
        <v>565535.43000000005</v>
      </c>
      <c r="S57" s="23">
        <v>217697.57</v>
      </c>
      <c r="T57" s="23">
        <f t="shared" si="6"/>
        <v>783233</v>
      </c>
      <c r="U57" s="23">
        <f t="shared" si="7"/>
        <v>783233</v>
      </c>
      <c r="V57" s="16">
        <v>0</v>
      </c>
      <c r="W57" s="16">
        <v>0</v>
      </c>
      <c r="X57" s="16">
        <v>0</v>
      </c>
      <c r="Y57" s="16">
        <v>565535.43000000005</v>
      </c>
      <c r="Z57" s="16">
        <f t="shared" si="8"/>
        <v>826686</v>
      </c>
      <c r="AA57" s="25">
        <f t="shared" si="0"/>
        <v>565535.43000000005</v>
      </c>
      <c r="AB57" s="25">
        <f t="shared" si="20"/>
        <v>0</v>
      </c>
      <c r="AC57" s="32">
        <f t="shared" si="20"/>
        <v>0</v>
      </c>
      <c r="AD57" s="27">
        <f t="shared" si="20"/>
        <v>0</v>
      </c>
      <c r="AE57" s="25">
        <f t="shared" si="2"/>
        <v>2083890.4300000002</v>
      </c>
      <c r="AF57" s="25">
        <v>261150.57</v>
      </c>
      <c r="AG57" s="28">
        <f t="shared" si="9"/>
        <v>2345041</v>
      </c>
      <c r="AH57" s="26">
        <f t="shared" si="10"/>
        <v>2345041</v>
      </c>
      <c r="AI57" s="27">
        <v>0</v>
      </c>
      <c r="AJ57" s="25">
        <v>0</v>
      </c>
      <c r="AK57" s="32">
        <v>0</v>
      </c>
      <c r="AL57" s="27">
        <v>565535.43000000005</v>
      </c>
      <c r="AM57" s="25">
        <v>331739.57</v>
      </c>
      <c r="AN57" s="28">
        <f t="shared" si="11"/>
        <v>897275</v>
      </c>
      <c r="AO57" s="32">
        <f t="shared" si="12"/>
        <v>897275</v>
      </c>
      <c r="AP57" s="27">
        <v>0</v>
      </c>
      <c r="AQ57" s="25">
        <v>0</v>
      </c>
      <c r="AR57" s="32">
        <v>0</v>
      </c>
      <c r="AS57" s="27">
        <v>565535.43000000005</v>
      </c>
      <c r="AT57" s="25">
        <v>188779.57</v>
      </c>
      <c r="AU57" s="25">
        <f t="shared" si="13"/>
        <v>754315</v>
      </c>
      <c r="AV57" s="25">
        <f t="shared" si="14"/>
        <v>754315</v>
      </c>
      <c r="AW57" s="25">
        <v>0</v>
      </c>
      <c r="AX57" s="25">
        <v>0</v>
      </c>
      <c r="AY57" s="25">
        <v>0</v>
      </c>
      <c r="AZ57" s="25">
        <v>565535.43000000005</v>
      </c>
      <c r="BA57" s="25">
        <v>168776.57</v>
      </c>
      <c r="BB57" s="25">
        <f t="shared" si="15"/>
        <v>734312</v>
      </c>
      <c r="BC57" s="25">
        <f t="shared" si="16"/>
        <v>734312</v>
      </c>
      <c r="BD57" s="25">
        <v>0</v>
      </c>
      <c r="BE57" s="25">
        <v>0</v>
      </c>
      <c r="BF57" s="25">
        <v>0</v>
      </c>
      <c r="BG57" s="25">
        <v>565535.43000000005</v>
      </c>
      <c r="BH57" s="25">
        <f t="shared" si="17"/>
        <v>565535.43000000005</v>
      </c>
      <c r="BI57" s="29">
        <v>0</v>
      </c>
      <c r="BJ57" s="29">
        <v>0</v>
      </c>
      <c r="BK57" s="29">
        <v>0</v>
      </c>
      <c r="BL57" s="29">
        <v>565535.43000000005</v>
      </c>
      <c r="BM57" s="29">
        <f t="shared" si="18"/>
        <v>565535.43000000005</v>
      </c>
      <c r="BN57" s="30">
        <f t="shared" si="19"/>
        <v>6034115.4099999992</v>
      </c>
    </row>
    <row r="58" spans="1:68">
      <c r="A58" s="19">
        <v>58</v>
      </c>
      <c r="B58" s="33" t="s">
        <v>224</v>
      </c>
      <c r="C58" s="33" t="s">
        <v>225</v>
      </c>
      <c r="D58" s="31" t="s">
        <v>226</v>
      </c>
      <c r="E58" s="21">
        <v>8272361</v>
      </c>
      <c r="F58" s="22">
        <v>98561.72</v>
      </c>
      <c r="G58" s="23">
        <v>6623.15</v>
      </c>
      <c r="H58" s="23">
        <v>0</v>
      </c>
      <c r="I58" s="23">
        <v>0</v>
      </c>
      <c r="J58" s="23">
        <v>441564.4</v>
      </c>
      <c r="K58" s="24">
        <v>174077.6</v>
      </c>
      <c r="L58" s="24">
        <f t="shared" si="3"/>
        <v>615642</v>
      </c>
      <c r="M58" s="24">
        <f t="shared" si="4"/>
        <v>615642</v>
      </c>
      <c r="N58" s="24">
        <f t="shared" si="5"/>
        <v>622265.15</v>
      </c>
      <c r="O58" s="23">
        <v>8340.26</v>
      </c>
      <c r="P58" s="23">
        <v>0</v>
      </c>
      <c r="Q58" s="23">
        <v>0</v>
      </c>
      <c r="R58" s="23">
        <v>441564.4</v>
      </c>
      <c r="S58" s="23">
        <v>285140.59999999998</v>
      </c>
      <c r="T58" s="23">
        <f t="shared" si="6"/>
        <v>726705</v>
      </c>
      <c r="U58" s="23">
        <f t="shared" si="7"/>
        <v>735045.26</v>
      </c>
      <c r="V58" s="16">
        <v>8830.86</v>
      </c>
      <c r="W58" s="16">
        <v>0</v>
      </c>
      <c r="X58" s="16">
        <v>0</v>
      </c>
      <c r="Y58" s="16">
        <v>441564.4</v>
      </c>
      <c r="Z58" s="16">
        <f t="shared" si="8"/>
        <v>767935</v>
      </c>
      <c r="AA58" s="25">
        <f t="shared" si="0"/>
        <v>450395.26</v>
      </c>
      <c r="AB58" s="25">
        <f t="shared" si="20"/>
        <v>23794.27</v>
      </c>
      <c r="AC58" s="32">
        <f t="shared" si="20"/>
        <v>0</v>
      </c>
      <c r="AD58" s="27">
        <f t="shared" si="20"/>
        <v>0</v>
      </c>
      <c r="AE58" s="25">
        <f t="shared" si="2"/>
        <v>1783911.4000000004</v>
      </c>
      <c r="AF58" s="25">
        <v>326370.59999999998</v>
      </c>
      <c r="AG58" s="28">
        <f t="shared" si="9"/>
        <v>2110282.0000000005</v>
      </c>
      <c r="AH58" s="26">
        <f t="shared" si="10"/>
        <v>2134076.2700000005</v>
      </c>
      <c r="AI58" s="27">
        <v>8830.86</v>
      </c>
      <c r="AJ58" s="25">
        <v>0</v>
      </c>
      <c r="AK58" s="32">
        <v>0</v>
      </c>
      <c r="AL58" s="27">
        <v>441564.4</v>
      </c>
      <c r="AM58" s="25">
        <v>392770.6</v>
      </c>
      <c r="AN58" s="28">
        <f t="shared" si="11"/>
        <v>834335</v>
      </c>
      <c r="AO58" s="32">
        <f t="shared" si="12"/>
        <v>843165.86</v>
      </c>
      <c r="AP58" s="27">
        <v>8830.86</v>
      </c>
      <c r="AQ58" s="25">
        <v>0</v>
      </c>
      <c r="AR58" s="32">
        <v>0</v>
      </c>
      <c r="AS58" s="27">
        <v>441564.4</v>
      </c>
      <c r="AT58" s="25">
        <v>299360.59999999998</v>
      </c>
      <c r="AU58" s="25">
        <f t="shared" si="13"/>
        <v>740925</v>
      </c>
      <c r="AV58" s="25">
        <f t="shared" si="14"/>
        <v>749755.86</v>
      </c>
      <c r="AW58" s="25">
        <v>8830.86</v>
      </c>
      <c r="AX58" s="25">
        <v>0</v>
      </c>
      <c r="AY58" s="25">
        <v>0</v>
      </c>
      <c r="AZ58" s="25">
        <v>441564.4</v>
      </c>
      <c r="BA58" s="25">
        <v>200094.6</v>
      </c>
      <c r="BB58" s="25">
        <f t="shared" si="15"/>
        <v>641659</v>
      </c>
      <c r="BC58" s="25">
        <f t="shared" si="16"/>
        <v>650489.86</v>
      </c>
      <c r="BD58" s="25">
        <v>7653.41</v>
      </c>
      <c r="BE58" s="25">
        <v>0</v>
      </c>
      <c r="BF58" s="25">
        <v>0</v>
      </c>
      <c r="BG58" s="25">
        <v>441564.4</v>
      </c>
      <c r="BH58" s="25">
        <f t="shared" si="17"/>
        <v>449217.81</v>
      </c>
      <c r="BI58" s="29">
        <v>8585.56</v>
      </c>
      <c r="BJ58" s="29">
        <v>0</v>
      </c>
      <c r="BK58" s="29">
        <v>0</v>
      </c>
      <c r="BL58" s="29">
        <v>441564.4</v>
      </c>
      <c r="BM58" s="29">
        <f t="shared" si="18"/>
        <v>450149.96</v>
      </c>
      <c r="BN58" s="30">
        <f t="shared" si="19"/>
        <v>5375417.3399999989</v>
      </c>
    </row>
    <row r="59" spans="1:68">
      <c r="A59" s="19">
        <v>60</v>
      </c>
      <c r="B59" s="19" t="s">
        <v>227</v>
      </c>
      <c r="C59" s="19" t="s">
        <v>228</v>
      </c>
      <c r="D59" s="31" t="s">
        <v>229</v>
      </c>
      <c r="E59" s="21">
        <v>24710030</v>
      </c>
      <c r="F59" s="22">
        <v>45087.23</v>
      </c>
      <c r="G59" s="23">
        <v>0</v>
      </c>
      <c r="H59" s="23">
        <v>0</v>
      </c>
      <c r="I59" s="23">
        <v>0</v>
      </c>
      <c r="J59" s="23">
        <v>150090.5</v>
      </c>
      <c r="K59" s="24">
        <v>0</v>
      </c>
      <c r="L59" s="24">
        <f t="shared" si="3"/>
        <v>150090.5</v>
      </c>
      <c r="M59" s="24">
        <f t="shared" si="4"/>
        <v>150090.5</v>
      </c>
      <c r="N59" s="24">
        <f t="shared" si="5"/>
        <v>150090.5</v>
      </c>
      <c r="O59" s="23">
        <v>0</v>
      </c>
      <c r="P59" s="23">
        <v>0</v>
      </c>
      <c r="Q59" s="23">
        <v>0</v>
      </c>
      <c r="R59" s="23">
        <v>150090.5</v>
      </c>
      <c r="S59" s="23">
        <v>60277.5</v>
      </c>
      <c r="T59" s="23">
        <f t="shared" si="6"/>
        <v>210368</v>
      </c>
      <c r="U59" s="23">
        <f t="shared" si="7"/>
        <v>210368</v>
      </c>
      <c r="V59" s="16">
        <v>0</v>
      </c>
      <c r="W59" s="16">
        <v>0</v>
      </c>
      <c r="X59" s="16">
        <v>0</v>
      </c>
      <c r="Y59" s="16">
        <v>150090.5</v>
      </c>
      <c r="Z59" s="16">
        <f t="shared" si="8"/>
        <v>215925.5</v>
      </c>
      <c r="AA59" s="25">
        <f t="shared" si="0"/>
        <v>150090.5</v>
      </c>
      <c r="AB59" s="25">
        <f t="shared" si="20"/>
        <v>0</v>
      </c>
      <c r="AC59" s="32">
        <f t="shared" si="20"/>
        <v>0</v>
      </c>
      <c r="AD59" s="27">
        <f t="shared" si="20"/>
        <v>0</v>
      </c>
      <c r="AE59" s="25">
        <f t="shared" si="2"/>
        <v>510549</v>
      </c>
      <c r="AF59" s="25">
        <v>65835</v>
      </c>
      <c r="AG59" s="28">
        <f t="shared" si="9"/>
        <v>576384</v>
      </c>
      <c r="AH59" s="26">
        <f t="shared" si="10"/>
        <v>576384</v>
      </c>
      <c r="AI59" s="27">
        <v>0</v>
      </c>
      <c r="AJ59" s="25">
        <v>0</v>
      </c>
      <c r="AK59" s="32">
        <v>0</v>
      </c>
      <c r="AL59" s="27">
        <v>150090.5</v>
      </c>
      <c r="AM59" s="25">
        <v>105269.5</v>
      </c>
      <c r="AN59" s="28">
        <f t="shared" si="11"/>
        <v>255360</v>
      </c>
      <c r="AO59" s="32">
        <f t="shared" si="12"/>
        <v>255360</v>
      </c>
      <c r="AP59" s="27">
        <v>0</v>
      </c>
      <c r="AQ59" s="25">
        <v>0</v>
      </c>
      <c r="AR59" s="32">
        <v>0</v>
      </c>
      <c r="AS59" s="27">
        <v>150090.5</v>
      </c>
      <c r="AT59" s="25">
        <v>43253.5</v>
      </c>
      <c r="AU59" s="25">
        <f t="shared" si="13"/>
        <v>193344</v>
      </c>
      <c r="AV59" s="25">
        <f t="shared" si="14"/>
        <v>193344</v>
      </c>
      <c r="AW59" s="25">
        <v>0</v>
      </c>
      <c r="AX59" s="25">
        <v>0</v>
      </c>
      <c r="AY59" s="25">
        <v>0</v>
      </c>
      <c r="AZ59" s="25">
        <v>150090.5</v>
      </c>
      <c r="BA59" s="25">
        <v>25013.5</v>
      </c>
      <c r="BB59" s="25">
        <f t="shared" si="15"/>
        <v>175104</v>
      </c>
      <c r="BC59" s="25">
        <f t="shared" si="16"/>
        <v>175104</v>
      </c>
      <c r="BD59" s="25">
        <v>0</v>
      </c>
      <c r="BE59" s="25">
        <v>0</v>
      </c>
      <c r="BF59" s="25">
        <v>0</v>
      </c>
      <c r="BG59" s="25">
        <v>150090.5</v>
      </c>
      <c r="BH59" s="25">
        <f t="shared" si="17"/>
        <v>150090.5</v>
      </c>
      <c r="BI59" s="29">
        <v>0</v>
      </c>
      <c r="BJ59" s="29">
        <v>0</v>
      </c>
      <c r="BK59" s="29">
        <v>0</v>
      </c>
      <c r="BL59" s="29">
        <v>150090.5</v>
      </c>
      <c r="BM59" s="29">
        <f t="shared" si="18"/>
        <v>150090.5</v>
      </c>
      <c r="BN59" s="30">
        <f t="shared" si="19"/>
        <v>1545460.23</v>
      </c>
    </row>
    <row r="60" spans="1:68" ht="30">
      <c r="A60" s="19">
        <v>48</v>
      </c>
      <c r="B60" s="33" t="s">
        <v>230</v>
      </c>
      <c r="C60" s="33" t="s">
        <v>231</v>
      </c>
      <c r="D60" s="31" t="s">
        <v>232</v>
      </c>
      <c r="E60" s="21">
        <v>29417074</v>
      </c>
      <c r="F60" s="22">
        <v>0</v>
      </c>
      <c r="G60" s="23">
        <v>150855.41</v>
      </c>
      <c r="H60" s="23">
        <v>0</v>
      </c>
      <c r="I60" s="23">
        <v>0</v>
      </c>
      <c r="J60" s="23">
        <v>0</v>
      </c>
      <c r="K60" s="24">
        <v>0</v>
      </c>
      <c r="L60" s="24">
        <f t="shared" si="3"/>
        <v>0</v>
      </c>
      <c r="M60" s="24">
        <f t="shared" si="4"/>
        <v>0</v>
      </c>
      <c r="N60" s="24">
        <f t="shared" si="5"/>
        <v>150855.41</v>
      </c>
      <c r="O60" s="23">
        <v>178514.01</v>
      </c>
      <c r="P60" s="23">
        <v>0</v>
      </c>
      <c r="Q60" s="23">
        <v>0</v>
      </c>
      <c r="R60" s="23">
        <v>0</v>
      </c>
      <c r="S60" s="23">
        <v>0</v>
      </c>
      <c r="T60" s="23">
        <f t="shared" si="6"/>
        <v>0</v>
      </c>
      <c r="U60" s="23">
        <f t="shared" si="7"/>
        <v>178514.01</v>
      </c>
      <c r="V60" s="16">
        <v>178514.01</v>
      </c>
      <c r="W60" s="16">
        <v>0</v>
      </c>
      <c r="X60" s="16">
        <v>0</v>
      </c>
      <c r="Y60" s="16">
        <v>0</v>
      </c>
      <c r="Z60" s="16">
        <f t="shared" si="8"/>
        <v>0</v>
      </c>
      <c r="AA60" s="25">
        <f t="shared" si="0"/>
        <v>178514.01</v>
      </c>
      <c r="AB60" s="25">
        <f t="shared" si="20"/>
        <v>507883.43000000005</v>
      </c>
      <c r="AC60" s="32">
        <f t="shared" si="20"/>
        <v>0</v>
      </c>
      <c r="AD60" s="27">
        <f t="shared" si="20"/>
        <v>0</v>
      </c>
      <c r="AE60" s="25">
        <f t="shared" si="2"/>
        <v>0</v>
      </c>
      <c r="AF60" s="25">
        <v>0</v>
      </c>
      <c r="AG60" s="28">
        <f t="shared" si="9"/>
        <v>0</v>
      </c>
      <c r="AH60" s="26">
        <f t="shared" si="10"/>
        <v>507883.43000000005</v>
      </c>
      <c r="AI60" s="27">
        <v>212314.08000000002</v>
      </c>
      <c r="AJ60" s="25">
        <v>0</v>
      </c>
      <c r="AK60" s="32">
        <v>0</v>
      </c>
      <c r="AL60" s="27">
        <v>0</v>
      </c>
      <c r="AM60" s="25">
        <v>0</v>
      </c>
      <c r="AN60" s="28">
        <f t="shared" si="11"/>
        <v>0</v>
      </c>
      <c r="AO60" s="32">
        <f t="shared" si="12"/>
        <v>212314.08000000002</v>
      </c>
      <c r="AP60" s="27">
        <v>233831.22</v>
      </c>
      <c r="AQ60" s="25">
        <v>0</v>
      </c>
      <c r="AR60" s="32">
        <v>0</v>
      </c>
      <c r="AS60" s="27">
        <v>633</v>
      </c>
      <c r="AT60" s="25">
        <v>0</v>
      </c>
      <c r="AU60" s="25">
        <f t="shared" si="13"/>
        <v>633</v>
      </c>
      <c r="AV60" s="25">
        <f t="shared" si="14"/>
        <v>234464.22</v>
      </c>
      <c r="AW60" s="25">
        <v>233831.22</v>
      </c>
      <c r="AX60" s="25">
        <v>0</v>
      </c>
      <c r="AY60" s="25">
        <v>0</v>
      </c>
      <c r="AZ60" s="25">
        <v>1731.1599999999999</v>
      </c>
      <c r="BA60" s="25">
        <v>0</v>
      </c>
      <c r="BB60" s="25">
        <f t="shared" si="15"/>
        <v>1731.1599999999999</v>
      </c>
      <c r="BC60" s="25">
        <f t="shared" si="16"/>
        <v>235562.38</v>
      </c>
      <c r="BD60" s="25">
        <v>194757.88</v>
      </c>
      <c r="BE60" s="25">
        <v>0</v>
      </c>
      <c r="BF60" s="25">
        <v>0</v>
      </c>
      <c r="BG60" s="25">
        <v>2364.16</v>
      </c>
      <c r="BH60" s="25">
        <f t="shared" si="17"/>
        <v>197122.04</v>
      </c>
      <c r="BI60" s="29">
        <v>184019.53</v>
      </c>
      <c r="BJ60" s="29">
        <v>0</v>
      </c>
      <c r="BK60" s="29">
        <v>0</v>
      </c>
      <c r="BL60" s="29">
        <v>633</v>
      </c>
      <c r="BM60" s="29">
        <f t="shared" si="18"/>
        <v>184652.53</v>
      </c>
      <c r="BN60" s="30">
        <f t="shared" si="19"/>
        <v>1571998.68</v>
      </c>
      <c r="BP60" s="5"/>
    </row>
    <row r="61" spans="1:68">
      <c r="A61" s="19">
        <v>61</v>
      </c>
      <c r="B61" s="19" t="s">
        <v>233</v>
      </c>
      <c r="C61" s="33" t="s">
        <v>234</v>
      </c>
      <c r="D61" s="46" t="s">
        <v>235</v>
      </c>
      <c r="E61" s="21">
        <v>15446991</v>
      </c>
      <c r="F61" s="22">
        <v>98450.2</v>
      </c>
      <c r="G61" s="23">
        <v>0</v>
      </c>
      <c r="H61" s="23">
        <v>0</v>
      </c>
      <c r="I61" s="23">
        <v>0</v>
      </c>
      <c r="J61" s="23">
        <v>128976.83</v>
      </c>
      <c r="K61" s="24">
        <v>53873.17</v>
      </c>
      <c r="L61" s="24">
        <f t="shared" si="3"/>
        <v>182850</v>
      </c>
      <c r="M61" s="24">
        <f t="shared" si="4"/>
        <v>182850</v>
      </c>
      <c r="N61" s="24">
        <f t="shared" si="5"/>
        <v>182850</v>
      </c>
      <c r="O61" s="23">
        <v>0</v>
      </c>
      <c r="P61" s="23">
        <v>0</v>
      </c>
      <c r="Q61" s="23">
        <v>0</v>
      </c>
      <c r="R61" s="23">
        <v>128976.83</v>
      </c>
      <c r="S61" s="23">
        <v>116919.17</v>
      </c>
      <c r="T61" s="23">
        <f t="shared" si="6"/>
        <v>245896</v>
      </c>
      <c r="U61" s="23">
        <f t="shared" si="7"/>
        <v>245896</v>
      </c>
      <c r="V61" s="16">
        <v>0</v>
      </c>
      <c r="W61" s="16">
        <v>0</v>
      </c>
      <c r="X61" s="16">
        <v>0</v>
      </c>
      <c r="Y61" s="16">
        <v>128976.83</v>
      </c>
      <c r="Z61" s="16">
        <f t="shared" si="8"/>
        <v>201781</v>
      </c>
      <c r="AA61" s="25">
        <f t="shared" si="0"/>
        <v>128976.83</v>
      </c>
      <c r="AB61" s="25">
        <f t="shared" si="20"/>
        <v>0</v>
      </c>
      <c r="AC61" s="47">
        <f t="shared" si="20"/>
        <v>0</v>
      </c>
      <c r="AD61" s="27">
        <f t="shared" si="20"/>
        <v>0</v>
      </c>
      <c r="AE61" s="25">
        <f t="shared" si="2"/>
        <v>557722.82999999996</v>
      </c>
      <c r="AF61" s="25">
        <v>72804.17</v>
      </c>
      <c r="AG61" s="28">
        <f t="shared" si="9"/>
        <v>630527</v>
      </c>
      <c r="AH61" s="26">
        <f t="shared" si="10"/>
        <v>630527</v>
      </c>
      <c r="AI61" s="27">
        <v>0</v>
      </c>
      <c r="AJ61" s="25">
        <v>0</v>
      </c>
      <c r="AK61" s="47">
        <v>0</v>
      </c>
      <c r="AL61" s="27">
        <v>128976.83</v>
      </c>
      <c r="AM61" s="25">
        <v>95084.17</v>
      </c>
      <c r="AN61" s="28">
        <f t="shared" si="11"/>
        <v>224061</v>
      </c>
      <c r="AO61" s="47">
        <f t="shared" si="12"/>
        <v>224061</v>
      </c>
      <c r="AP61" s="27">
        <v>0</v>
      </c>
      <c r="AQ61" s="25">
        <v>0</v>
      </c>
      <c r="AR61" s="47">
        <v>0</v>
      </c>
      <c r="AS61" s="27">
        <v>128976.83</v>
      </c>
      <c r="AT61" s="25">
        <v>64527.17</v>
      </c>
      <c r="AU61" s="25">
        <f t="shared" si="13"/>
        <v>193504</v>
      </c>
      <c r="AV61" s="25">
        <f t="shared" si="14"/>
        <v>193504</v>
      </c>
      <c r="AW61" s="25">
        <v>0</v>
      </c>
      <c r="AX61" s="25">
        <v>0</v>
      </c>
      <c r="AY61" s="25">
        <v>0</v>
      </c>
      <c r="AZ61" s="25">
        <v>128976.83</v>
      </c>
      <c r="BA61" s="25">
        <v>34192.17</v>
      </c>
      <c r="BB61" s="25">
        <f t="shared" si="15"/>
        <v>163169</v>
      </c>
      <c r="BC61" s="25">
        <f t="shared" si="16"/>
        <v>163169</v>
      </c>
      <c r="BD61" s="25">
        <v>0</v>
      </c>
      <c r="BE61" s="25">
        <v>0</v>
      </c>
      <c r="BF61" s="25">
        <v>0</v>
      </c>
      <c r="BG61" s="25">
        <v>128976.83</v>
      </c>
      <c r="BH61" s="25">
        <f t="shared" si="17"/>
        <v>128976.83</v>
      </c>
      <c r="BI61" s="29">
        <v>0</v>
      </c>
      <c r="BJ61" s="29">
        <v>0</v>
      </c>
      <c r="BK61" s="29">
        <v>0</v>
      </c>
      <c r="BL61" s="29">
        <v>128976.83</v>
      </c>
      <c r="BM61" s="29">
        <f t="shared" si="18"/>
        <v>128976.83</v>
      </c>
      <c r="BN61" s="30">
        <f t="shared" si="19"/>
        <v>1567664.86</v>
      </c>
    </row>
    <row r="62" spans="1:68">
      <c r="A62" s="19">
        <v>63</v>
      </c>
      <c r="B62" s="19" t="s">
        <v>236</v>
      </c>
      <c r="C62" s="19" t="s">
        <v>237</v>
      </c>
      <c r="D62" s="31" t="s">
        <v>238</v>
      </c>
      <c r="E62" s="21">
        <v>28890251</v>
      </c>
      <c r="F62" s="22">
        <v>0</v>
      </c>
      <c r="G62" s="23">
        <v>631545.65500000003</v>
      </c>
      <c r="H62" s="23">
        <v>0</v>
      </c>
      <c r="I62" s="23">
        <v>0</v>
      </c>
      <c r="J62" s="23">
        <v>2531.04</v>
      </c>
      <c r="K62" s="24">
        <v>142741.96</v>
      </c>
      <c r="L62" s="24">
        <f t="shared" si="3"/>
        <v>145273</v>
      </c>
      <c r="M62" s="24">
        <f t="shared" si="4"/>
        <v>145273</v>
      </c>
      <c r="N62" s="24">
        <f t="shared" si="5"/>
        <v>776818.65500000003</v>
      </c>
      <c r="O62" s="23">
        <v>611572.89</v>
      </c>
      <c r="P62" s="23">
        <v>0</v>
      </c>
      <c r="Q62" s="23">
        <v>0</v>
      </c>
      <c r="R62" s="23">
        <v>2531.04</v>
      </c>
      <c r="S62" s="23">
        <v>169057.96</v>
      </c>
      <c r="T62" s="23">
        <f t="shared" si="6"/>
        <v>171589</v>
      </c>
      <c r="U62" s="23">
        <f t="shared" si="7"/>
        <v>783161.89</v>
      </c>
      <c r="V62" s="16">
        <v>811572.89</v>
      </c>
      <c r="W62" s="16">
        <v>0</v>
      </c>
      <c r="X62" s="16">
        <v>0</v>
      </c>
      <c r="Y62" s="16">
        <v>2531.04</v>
      </c>
      <c r="Z62" s="16">
        <f t="shared" si="8"/>
        <v>188244</v>
      </c>
      <c r="AA62" s="25">
        <f t="shared" si="0"/>
        <v>814103.93</v>
      </c>
      <c r="AB62" s="25">
        <f t="shared" si="20"/>
        <v>2054691.4350000001</v>
      </c>
      <c r="AC62" s="32">
        <f t="shared" si="20"/>
        <v>0</v>
      </c>
      <c r="AD62" s="27">
        <f t="shared" si="20"/>
        <v>0</v>
      </c>
      <c r="AE62" s="25">
        <f t="shared" si="2"/>
        <v>319393.03999999998</v>
      </c>
      <c r="AF62" s="25">
        <v>185712.96</v>
      </c>
      <c r="AG62" s="28">
        <f t="shared" si="9"/>
        <v>505106</v>
      </c>
      <c r="AH62" s="26">
        <f t="shared" si="10"/>
        <v>2559797.4350000001</v>
      </c>
      <c r="AI62" s="27">
        <v>811572.89</v>
      </c>
      <c r="AJ62" s="25">
        <v>0</v>
      </c>
      <c r="AK62" s="32">
        <v>0</v>
      </c>
      <c r="AL62" s="27">
        <v>2531.04</v>
      </c>
      <c r="AM62" s="25">
        <v>214994.96</v>
      </c>
      <c r="AN62" s="28">
        <f t="shared" si="11"/>
        <v>217526</v>
      </c>
      <c r="AO62" s="32">
        <f t="shared" si="12"/>
        <v>1029098.89</v>
      </c>
      <c r="AP62" s="27">
        <f>811572.89+107005.89</f>
        <v>918578.78</v>
      </c>
      <c r="AQ62" s="25">
        <v>0</v>
      </c>
      <c r="AR62" s="32">
        <v>0</v>
      </c>
      <c r="AS62" s="27">
        <v>2531.04</v>
      </c>
      <c r="AT62" s="25">
        <v>260619.96</v>
      </c>
      <c r="AU62" s="25">
        <f t="shared" si="13"/>
        <v>263151</v>
      </c>
      <c r="AV62" s="25">
        <f t="shared" si="14"/>
        <v>1181729.78</v>
      </c>
      <c r="AW62" s="25">
        <f>811572.89+555249.76</f>
        <v>1366822.65</v>
      </c>
      <c r="AX62" s="25">
        <v>0</v>
      </c>
      <c r="AY62" s="25">
        <v>0</v>
      </c>
      <c r="AZ62" s="25">
        <v>2531.04</v>
      </c>
      <c r="BA62" s="25">
        <v>274590.96000000002</v>
      </c>
      <c r="BB62" s="25">
        <f t="shared" si="15"/>
        <v>277122</v>
      </c>
      <c r="BC62" s="25">
        <f t="shared" si="16"/>
        <v>1643944.65</v>
      </c>
      <c r="BD62" s="25">
        <f>811572.89+237972.55</f>
        <v>1049545.44</v>
      </c>
      <c r="BE62" s="25">
        <v>0</v>
      </c>
      <c r="BF62" s="25">
        <v>0</v>
      </c>
      <c r="BG62" s="25">
        <v>2531.04</v>
      </c>
      <c r="BH62" s="25">
        <f t="shared" si="17"/>
        <v>1052076.48</v>
      </c>
      <c r="BI62" s="29">
        <v>811572.89</v>
      </c>
      <c r="BJ62" s="29">
        <v>0</v>
      </c>
      <c r="BK62" s="29">
        <v>0</v>
      </c>
      <c r="BL62" s="29">
        <v>2531.04</v>
      </c>
      <c r="BM62" s="29">
        <f t="shared" si="18"/>
        <v>814103.93</v>
      </c>
      <c r="BN62" s="30">
        <f t="shared" si="19"/>
        <v>8280751.165000001</v>
      </c>
    </row>
    <row r="63" spans="1:68">
      <c r="A63" s="19">
        <v>64</v>
      </c>
      <c r="B63" s="19" t="s">
        <v>239</v>
      </c>
      <c r="C63" s="19" t="s">
        <v>240</v>
      </c>
      <c r="D63" s="31" t="s">
        <v>241</v>
      </c>
      <c r="E63" s="21">
        <v>18905789</v>
      </c>
      <c r="F63" s="22">
        <v>0</v>
      </c>
      <c r="G63" s="23">
        <v>0</v>
      </c>
      <c r="H63" s="23">
        <v>0</v>
      </c>
      <c r="I63" s="23">
        <v>0</v>
      </c>
      <c r="J63" s="23">
        <v>310464</v>
      </c>
      <c r="K63" s="24">
        <v>0</v>
      </c>
      <c r="L63" s="24">
        <f t="shared" si="3"/>
        <v>310464</v>
      </c>
      <c r="M63" s="24">
        <f t="shared" si="4"/>
        <v>310464</v>
      </c>
      <c r="N63" s="24">
        <f t="shared" si="5"/>
        <v>310464</v>
      </c>
      <c r="O63" s="23">
        <v>0</v>
      </c>
      <c r="P63" s="23">
        <v>0</v>
      </c>
      <c r="Q63" s="23">
        <v>0</v>
      </c>
      <c r="R63" s="23">
        <v>268303.66666666669</v>
      </c>
      <c r="S63" s="23">
        <v>48379.33</v>
      </c>
      <c r="T63" s="23">
        <f t="shared" si="6"/>
        <v>316682.9966666667</v>
      </c>
      <c r="U63" s="23">
        <f t="shared" si="7"/>
        <v>316682.9966666667</v>
      </c>
      <c r="V63" s="16">
        <v>0</v>
      </c>
      <c r="W63" s="16">
        <v>0</v>
      </c>
      <c r="X63" s="16">
        <v>0</v>
      </c>
      <c r="Y63" s="16">
        <v>285051</v>
      </c>
      <c r="Z63" s="16">
        <f t="shared" si="8"/>
        <v>306386</v>
      </c>
      <c r="AA63" s="25">
        <f t="shared" si="0"/>
        <v>285051</v>
      </c>
      <c r="AB63" s="25">
        <f t="shared" si="20"/>
        <v>0</v>
      </c>
      <c r="AC63" s="32">
        <f t="shared" si="20"/>
        <v>0</v>
      </c>
      <c r="AD63" s="27">
        <f t="shared" si="20"/>
        <v>0</v>
      </c>
      <c r="AE63" s="25">
        <f t="shared" si="2"/>
        <v>912197.9966666667</v>
      </c>
      <c r="AF63" s="25">
        <v>21335</v>
      </c>
      <c r="AG63" s="28">
        <f t="shared" si="9"/>
        <v>933532.9966666667</v>
      </c>
      <c r="AH63" s="26">
        <f t="shared" si="10"/>
        <v>933532.9966666667</v>
      </c>
      <c r="AI63" s="27">
        <v>0</v>
      </c>
      <c r="AJ63" s="25">
        <v>0</v>
      </c>
      <c r="AK63" s="32">
        <v>0</v>
      </c>
      <c r="AL63" s="27">
        <v>300867</v>
      </c>
      <c r="AM63" s="25">
        <v>0</v>
      </c>
      <c r="AN63" s="28">
        <f t="shared" si="11"/>
        <v>300867</v>
      </c>
      <c r="AO63" s="32">
        <f t="shared" si="12"/>
        <v>300867</v>
      </c>
      <c r="AP63" s="27">
        <v>0</v>
      </c>
      <c r="AQ63" s="25">
        <v>0</v>
      </c>
      <c r="AR63" s="32">
        <v>0</v>
      </c>
      <c r="AS63" s="27">
        <v>316683</v>
      </c>
      <c r="AT63" s="25">
        <v>0</v>
      </c>
      <c r="AU63" s="25">
        <f t="shared" si="13"/>
        <v>316683</v>
      </c>
      <c r="AV63" s="25">
        <f t="shared" si="14"/>
        <v>316683</v>
      </c>
      <c r="AW63" s="25">
        <v>0</v>
      </c>
      <c r="AX63" s="25">
        <v>0</v>
      </c>
      <c r="AY63" s="25">
        <v>0</v>
      </c>
      <c r="AZ63" s="25">
        <v>326772</v>
      </c>
      <c r="BA63" s="25">
        <v>0</v>
      </c>
      <c r="BB63" s="25">
        <f t="shared" si="15"/>
        <v>326772</v>
      </c>
      <c r="BC63" s="25">
        <f t="shared" si="16"/>
        <v>326772</v>
      </c>
      <c r="BD63" s="25">
        <v>0</v>
      </c>
      <c r="BE63" s="25">
        <v>0</v>
      </c>
      <c r="BF63" s="25">
        <v>0</v>
      </c>
      <c r="BG63" s="25">
        <v>301907</v>
      </c>
      <c r="BH63" s="25">
        <f t="shared" si="17"/>
        <v>301907</v>
      </c>
      <c r="BI63" s="29">
        <v>0</v>
      </c>
      <c r="BJ63" s="29">
        <v>0</v>
      </c>
      <c r="BK63" s="29">
        <v>0</v>
      </c>
      <c r="BL63" s="29">
        <v>288333.83</v>
      </c>
      <c r="BM63" s="29">
        <f t="shared" si="18"/>
        <v>288333.83</v>
      </c>
      <c r="BN63" s="30">
        <f t="shared" si="19"/>
        <v>2468095.8266666667</v>
      </c>
    </row>
    <row r="64" spans="1:68">
      <c r="A64" s="19">
        <v>43</v>
      </c>
      <c r="B64" s="33" t="s">
        <v>242</v>
      </c>
      <c r="C64" s="33" t="s">
        <v>243</v>
      </c>
      <c r="D64" s="31" t="s">
        <v>244</v>
      </c>
      <c r="E64" s="21">
        <v>4267257</v>
      </c>
      <c r="F64" s="22">
        <v>0</v>
      </c>
      <c r="G64" s="23">
        <f>1769278.97-32387.68</f>
        <v>1736891.29</v>
      </c>
      <c r="H64" s="23">
        <v>168617.84</v>
      </c>
      <c r="I64" s="23">
        <v>0</v>
      </c>
      <c r="J64" s="23">
        <v>110255.32</v>
      </c>
      <c r="K64" s="24">
        <v>17649.68</v>
      </c>
      <c r="L64" s="24">
        <f t="shared" si="3"/>
        <v>127905</v>
      </c>
      <c r="M64" s="24">
        <f t="shared" si="4"/>
        <v>127905</v>
      </c>
      <c r="N64" s="24">
        <f t="shared" si="5"/>
        <v>2033414.1300000001</v>
      </c>
      <c r="O64" s="23">
        <v>1769278.97</v>
      </c>
      <c r="P64" s="23">
        <v>168617.84</v>
      </c>
      <c r="Q64" s="23">
        <v>0</v>
      </c>
      <c r="R64" s="23">
        <v>110255.32</v>
      </c>
      <c r="S64" s="23">
        <v>26255.68</v>
      </c>
      <c r="T64" s="23">
        <f t="shared" si="6"/>
        <v>136511</v>
      </c>
      <c r="U64" s="23">
        <f t="shared" si="7"/>
        <v>2074407.81</v>
      </c>
      <c r="V64" s="16">
        <v>1769278.97</v>
      </c>
      <c r="W64" s="16">
        <v>168617.84</v>
      </c>
      <c r="X64" s="16">
        <v>0</v>
      </c>
      <c r="Y64" s="16">
        <f>110255.32+32387.68</f>
        <v>142643</v>
      </c>
      <c r="Z64" s="16">
        <f t="shared" si="8"/>
        <v>142643</v>
      </c>
      <c r="AA64" s="25">
        <f t="shared" si="0"/>
        <v>2080539.81</v>
      </c>
      <c r="AB64" s="25">
        <f t="shared" si="20"/>
        <v>5275449.2299999995</v>
      </c>
      <c r="AC64" s="32">
        <f t="shared" si="20"/>
        <v>505853.52</v>
      </c>
      <c r="AD64" s="27">
        <f t="shared" si="20"/>
        <v>0</v>
      </c>
      <c r="AE64" s="25">
        <f t="shared" si="2"/>
        <v>407059</v>
      </c>
      <c r="AF64" s="25">
        <v>0</v>
      </c>
      <c r="AG64" s="28">
        <f t="shared" si="9"/>
        <v>407059</v>
      </c>
      <c r="AH64" s="26">
        <f t="shared" si="10"/>
        <v>6188361.75</v>
      </c>
      <c r="AI64" s="27">
        <v>1769278.97</v>
      </c>
      <c r="AJ64" s="25">
        <v>168617.84</v>
      </c>
      <c r="AK64" s="32">
        <v>0</v>
      </c>
      <c r="AL64" s="27">
        <v>110255.32</v>
      </c>
      <c r="AM64" s="25">
        <v>52581.68</v>
      </c>
      <c r="AN64" s="28">
        <f t="shared" si="11"/>
        <v>162837</v>
      </c>
      <c r="AO64" s="32">
        <f t="shared" si="12"/>
        <v>2100733.81</v>
      </c>
      <c r="AP64" s="27">
        <v>1769278.97</v>
      </c>
      <c r="AQ64" s="25">
        <v>168617.84</v>
      </c>
      <c r="AR64" s="32">
        <v>0</v>
      </c>
      <c r="AS64" s="27">
        <v>110255.32</v>
      </c>
      <c r="AT64" s="25">
        <v>10617.68</v>
      </c>
      <c r="AU64" s="25">
        <f t="shared" si="13"/>
        <v>120873</v>
      </c>
      <c r="AV64" s="25">
        <f t="shared" si="14"/>
        <v>2058769.81</v>
      </c>
      <c r="AW64" s="25">
        <v>1769278.97</v>
      </c>
      <c r="AX64" s="25">
        <v>168617.84</v>
      </c>
      <c r="AY64" s="25">
        <v>0</v>
      </c>
      <c r="AZ64" s="25">
        <v>110255.32</v>
      </c>
      <c r="BA64" s="25">
        <v>0</v>
      </c>
      <c r="BB64" s="25">
        <f t="shared" si="15"/>
        <v>110255.32</v>
      </c>
      <c r="BC64" s="25">
        <f t="shared" si="16"/>
        <v>2048152.1300000001</v>
      </c>
      <c r="BD64" s="25">
        <v>1883885.89</v>
      </c>
      <c r="BE64" s="25">
        <v>168617.84</v>
      </c>
      <c r="BF64" s="25">
        <v>0</v>
      </c>
      <c r="BG64" s="25">
        <v>110255.32</v>
      </c>
      <c r="BH64" s="25">
        <f t="shared" si="17"/>
        <v>2162759.0499999998</v>
      </c>
      <c r="BI64" s="29">
        <v>1883885.89</v>
      </c>
      <c r="BJ64" s="29">
        <v>168617.84</v>
      </c>
      <c r="BK64" s="29">
        <v>0</v>
      </c>
      <c r="BL64" s="29">
        <v>110255.32</v>
      </c>
      <c r="BM64" s="29">
        <f t="shared" si="18"/>
        <v>2162759.0499999998</v>
      </c>
      <c r="BN64" s="30">
        <f t="shared" si="19"/>
        <v>16721535.600000001</v>
      </c>
    </row>
    <row r="65" spans="1:67">
      <c r="A65" s="19">
        <v>44</v>
      </c>
      <c r="B65" s="48" t="s">
        <v>245</v>
      </c>
      <c r="C65" s="48" t="s">
        <v>246</v>
      </c>
      <c r="D65" s="31" t="s">
        <v>247</v>
      </c>
      <c r="E65" s="21">
        <v>4505316</v>
      </c>
      <c r="F65" s="22">
        <v>0</v>
      </c>
      <c r="G65" s="23">
        <f>3895641.89-122901.87</f>
        <v>3772740.02</v>
      </c>
      <c r="H65" s="23">
        <v>502642.7</v>
      </c>
      <c r="I65" s="23">
        <v>0</v>
      </c>
      <c r="J65" s="23">
        <v>400648.12999999995</v>
      </c>
      <c r="K65" s="24">
        <v>35683.870000000003</v>
      </c>
      <c r="L65" s="24">
        <f t="shared" si="3"/>
        <v>436331.99999999994</v>
      </c>
      <c r="M65" s="24">
        <f t="shared" si="4"/>
        <v>436331.99999999994</v>
      </c>
      <c r="N65" s="24">
        <f t="shared" si="5"/>
        <v>4711714.72</v>
      </c>
      <c r="O65" s="23">
        <v>3895641.89</v>
      </c>
      <c r="P65" s="23">
        <v>502642.7</v>
      </c>
      <c r="Q65" s="23">
        <v>0</v>
      </c>
      <c r="R65" s="23">
        <v>400648.12999999995</v>
      </c>
      <c r="S65" s="23">
        <v>67192.87</v>
      </c>
      <c r="T65" s="23">
        <f t="shared" si="6"/>
        <v>467840.99999999994</v>
      </c>
      <c r="U65" s="23">
        <f t="shared" si="7"/>
        <v>4866125.59</v>
      </c>
      <c r="V65" s="16">
        <v>3895641.89</v>
      </c>
      <c r="W65" s="16">
        <v>502642.7</v>
      </c>
      <c r="X65" s="16">
        <v>0</v>
      </c>
      <c r="Y65" s="16">
        <f>400648.13+122901.87</f>
        <v>523550</v>
      </c>
      <c r="Z65" s="16">
        <f t="shared" si="8"/>
        <v>523550</v>
      </c>
      <c r="AA65" s="25">
        <f t="shared" si="0"/>
        <v>4921834.59</v>
      </c>
      <c r="AB65" s="25">
        <f t="shared" si="20"/>
        <v>11564023.800000001</v>
      </c>
      <c r="AC65" s="32">
        <f t="shared" si="20"/>
        <v>1507928.1</v>
      </c>
      <c r="AD65" s="27">
        <f t="shared" si="20"/>
        <v>0</v>
      </c>
      <c r="AE65" s="25">
        <f t="shared" si="2"/>
        <v>1427723</v>
      </c>
      <c r="AF65" s="25">
        <v>0</v>
      </c>
      <c r="AG65" s="28">
        <f t="shared" si="9"/>
        <v>1427723</v>
      </c>
      <c r="AH65" s="26">
        <f t="shared" si="10"/>
        <v>14499674.9</v>
      </c>
      <c r="AI65" s="27">
        <v>3895641.89</v>
      </c>
      <c r="AJ65" s="25">
        <v>502642.7</v>
      </c>
      <c r="AK65" s="32">
        <v>0</v>
      </c>
      <c r="AL65" s="27">
        <v>400648.12999999995</v>
      </c>
      <c r="AM65" s="25">
        <v>74881.87</v>
      </c>
      <c r="AN65" s="28">
        <f t="shared" si="11"/>
        <v>475529.99999999994</v>
      </c>
      <c r="AO65" s="32">
        <f t="shared" si="12"/>
        <v>4873814.59</v>
      </c>
      <c r="AP65" s="27">
        <v>3895641.89</v>
      </c>
      <c r="AQ65" s="25">
        <v>502642.7</v>
      </c>
      <c r="AR65" s="32">
        <v>0</v>
      </c>
      <c r="AS65" s="27">
        <v>400648.12999999995</v>
      </c>
      <c r="AT65" s="25">
        <v>53950.87</v>
      </c>
      <c r="AU65" s="25">
        <f t="shared" si="13"/>
        <v>454598.99999999994</v>
      </c>
      <c r="AV65" s="25">
        <f t="shared" si="14"/>
        <v>4852883.59</v>
      </c>
      <c r="AW65" s="25">
        <v>3895641.89</v>
      </c>
      <c r="AX65" s="25">
        <v>502642.7</v>
      </c>
      <c r="AY65" s="25">
        <v>0</v>
      </c>
      <c r="AZ65" s="25">
        <v>400648.13</v>
      </c>
      <c r="BA65" s="25">
        <v>23486.87</v>
      </c>
      <c r="BB65" s="25">
        <f t="shared" si="15"/>
        <v>424135</v>
      </c>
      <c r="BC65" s="25">
        <f t="shared" si="16"/>
        <v>4822419.59</v>
      </c>
      <c r="BD65" s="25">
        <v>4723864.08</v>
      </c>
      <c r="BE65" s="25">
        <v>502642.7</v>
      </c>
      <c r="BF65" s="25">
        <v>0</v>
      </c>
      <c r="BG65" s="25">
        <v>400648.13</v>
      </c>
      <c r="BH65" s="25">
        <f t="shared" si="17"/>
        <v>5627154.9100000001</v>
      </c>
      <c r="BI65" s="29">
        <v>4723864.08</v>
      </c>
      <c r="BJ65" s="29">
        <v>502642.7</v>
      </c>
      <c r="BK65" s="29">
        <v>0</v>
      </c>
      <c r="BL65" s="29">
        <v>400648.13</v>
      </c>
      <c r="BM65" s="29">
        <f t="shared" si="18"/>
        <v>5627154.9100000001</v>
      </c>
      <c r="BN65" s="30">
        <f t="shared" si="19"/>
        <v>40303102.489999995</v>
      </c>
    </row>
    <row r="66" spans="1:67">
      <c r="A66" s="19">
        <v>65</v>
      </c>
      <c r="B66" s="19" t="s">
        <v>248</v>
      </c>
      <c r="C66" s="19" t="s">
        <v>249</v>
      </c>
      <c r="D66" s="31" t="s">
        <v>250</v>
      </c>
      <c r="E66" s="21">
        <v>27303715</v>
      </c>
      <c r="F66" s="22">
        <v>0</v>
      </c>
      <c r="G66" s="23">
        <v>0</v>
      </c>
      <c r="H66" s="23">
        <v>0</v>
      </c>
      <c r="I66" s="23">
        <v>203899.73</v>
      </c>
      <c r="J66" s="23">
        <v>0</v>
      </c>
      <c r="K66" s="24">
        <v>0</v>
      </c>
      <c r="L66" s="24">
        <f t="shared" si="3"/>
        <v>0</v>
      </c>
      <c r="M66" s="24">
        <f t="shared" si="4"/>
        <v>0</v>
      </c>
      <c r="N66" s="24">
        <f t="shared" si="5"/>
        <v>203899.73</v>
      </c>
      <c r="O66" s="23">
        <v>0</v>
      </c>
      <c r="P66" s="23">
        <v>0</v>
      </c>
      <c r="Q66" s="23">
        <v>203899.73</v>
      </c>
      <c r="R66" s="23">
        <v>0</v>
      </c>
      <c r="S66" s="23">
        <v>0</v>
      </c>
      <c r="T66" s="23">
        <f t="shared" si="6"/>
        <v>0</v>
      </c>
      <c r="U66" s="23">
        <f t="shared" si="7"/>
        <v>203899.73</v>
      </c>
      <c r="V66" s="16">
        <v>0</v>
      </c>
      <c r="W66" s="16">
        <v>0</v>
      </c>
      <c r="X66" s="16">
        <v>203899.73</v>
      </c>
      <c r="Y66" s="16">
        <v>0</v>
      </c>
      <c r="Z66" s="16">
        <f t="shared" si="8"/>
        <v>0</v>
      </c>
      <c r="AA66" s="25">
        <f t="shared" si="0"/>
        <v>203899.73</v>
      </c>
      <c r="AB66" s="25">
        <f t="shared" si="20"/>
        <v>0</v>
      </c>
      <c r="AC66" s="32">
        <f t="shared" si="20"/>
        <v>0</v>
      </c>
      <c r="AD66" s="27">
        <f t="shared" si="20"/>
        <v>611699.19000000006</v>
      </c>
      <c r="AE66" s="25">
        <f t="shared" si="2"/>
        <v>0</v>
      </c>
      <c r="AF66" s="25">
        <v>0</v>
      </c>
      <c r="AG66" s="28">
        <f t="shared" si="9"/>
        <v>0</v>
      </c>
      <c r="AH66" s="26">
        <f t="shared" si="10"/>
        <v>611699.19000000006</v>
      </c>
      <c r="AI66" s="27">
        <v>0</v>
      </c>
      <c r="AJ66" s="25">
        <v>0</v>
      </c>
      <c r="AK66" s="32">
        <v>203899.73</v>
      </c>
      <c r="AL66" s="27">
        <v>0</v>
      </c>
      <c r="AM66" s="25">
        <v>0</v>
      </c>
      <c r="AN66" s="28">
        <f t="shared" si="11"/>
        <v>0</v>
      </c>
      <c r="AO66" s="32">
        <f t="shared" si="12"/>
        <v>203899.73</v>
      </c>
      <c r="AP66" s="27">
        <v>0</v>
      </c>
      <c r="AQ66" s="25">
        <v>0</v>
      </c>
      <c r="AR66" s="32">
        <v>203899.73</v>
      </c>
      <c r="AS66" s="27">
        <v>0</v>
      </c>
      <c r="AT66" s="25">
        <v>0</v>
      </c>
      <c r="AU66" s="25">
        <f t="shared" si="13"/>
        <v>0</v>
      </c>
      <c r="AV66" s="25">
        <f t="shared" si="14"/>
        <v>203899.73</v>
      </c>
      <c r="AW66" s="25">
        <v>0</v>
      </c>
      <c r="AX66" s="25">
        <v>0</v>
      </c>
      <c r="AY66" s="25">
        <v>203899.73</v>
      </c>
      <c r="AZ66" s="25">
        <v>0</v>
      </c>
      <c r="BA66" s="25">
        <v>0</v>
      </c>
      <c r="BB66" s="25">
        <f t="shared" si="15"/>
        <v>0</v>
      </c>
      <c r="BC66" s="25">
        <f t="shared" si="16"/>
        <v>203899.73</v>
      </c>
      <c r="BD66" s="25">
        <v>0</v>
      </c>
      <c r="BE66" s="25">
        <v>0</v>
      </c>
      <c r="BF66" s="25">
        <v>182836.16</v>
      </c>
      <c r="BG66" s="25">
        <v>0</v>
      </c>
      <c r="BH66" s="25">
        <f t="shared" si="17"/>
        <v>182836.16</v>
      </c>
      <c r="BI66" s="29">
        <v>0</v>
      </c>
      <c r="BJ66" s="29">
        <v>0</v>
      </c>
      <c r="BK66" s="29">
        <v>176075.92</v>
      </c>
      <c r="BL66" s="29">
        <v>0</v>
      </c>
      <c r="BM66" s="29">
        <f t="shared" si="18"/>
        <v>176075.92</v>
      </c>
      <c r="BN66" s="30">
        <f t="shared" si="19"/>
        <v>1582310.46</v>
      </c>
    </row>
    <row r="67" spans="1:67">
      <c r="A67" s="19">
        <v>62</v>
      </c>
      <c r="B67" s="33" t="s">
        <v>251</v>
      </c>
      <c r="C67" s="33" t="s">
        <v>252</v>
      </c>
      <c r="D67" s="31" t="s">
        <v>253</v>
      </c>
      <c r="E67" s="42">
        <v>25870802</v>
      </c>
      <c r="F67" s="22">
        <v>0</v>
      </c>
      <c r="G67" s="23">
        <v>0</v>
      </c>
      <c r="H67" s="23">
        <v>0</v>
      </c>
      <c r="I67" s="23">
        <v>0</v>
      </c>
      <c r="J67" s="23">
        <v>0</v>
      </c>
      <c r="K67" s="24">
        <v>0</v>
      </c>
      <c r="L67" s="24">
        <f t="shared" si="3"/>
        <v>0</v>
      </c>
      <c r="M67" s="24">
        <f t="shared" si="4"/>
        <v>0</v>
      </c>
      <c r="N67" s="24">
        <f t="shared" si="5"/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f t="shared" si="6"/>
        <v>0</v>
      </c>
      <c r="U67" s="23">
        <f t="shared" si="7"/>
        <v>0</v>
      </c>
      <c r="V67" s="16">
        <v>0</v>
      </c>
      <c r="W67" s="16">
        <v>0</v>
      </c>
      <c r="X67" s="16">
        <v>0</v>
      </c>
      <c r="Y67" s="16">
        <v>0</v>
      </c>
      <c r="Z67" s="16">
        <f t="shared" si="8"/>
        <v>0</v>
      </c>
      <c r="AA67" s="25">
        <f t="shared" ref="AA67:AA96" si="21">+V67+W67+X67+Y67</f>
        <v>0</v>
      </c>
      <c r="AB67" s="25">
        <f t="shared" ref="AB67:AD96" si="22">+G67+O67+V67</f>
        <v>0</v>
      </c>
      <c r="AC67" s="32">
        <f t="shared" si="22"/>
        <v>0</v>
      </c>
      <c r="AD67" s="43">
        <f t="shared" si="22"/>
        <v>0</v>
      </c>
      <c r="AE67" s="25">
        <f t="shared" ref="AE67:AE96" si="23">+J67+R67+Y67+K67+S67</f>
        <v>0</v>
      </c>
      <c r="AF67" s="25">
        <v>0</v>
      </c>
      <c r="AG67" s="28">
        <f t="shared" si="9"/>
        <v>0</v>
      </c>
      <c r="AH67" s="26">
        <f t="shared" si="10"/>
        <v>0</v>
      </c>
      <c r="AI67" s="43">
        <v>0</v>
      </c>
      <c r="AJ67" s="25">
        <v>0</v>
      </c>
      <c r="AK67" s="32">
        <v>0</v>
      </c>
      <c r="AL67" s="43">
        <v>0</v>
      </c>
      <c r="AM67" s="25">
        <v>0</v>
      </c>
      <c r="AN67" s="28">
        <f t="shared" si="11"/>
        <v>0</v>
      </c>
      <c r="AO67" s="32">
        <f t="shared" si="12"/>
        <v>0</v>
      </c>
      <c r="AP67" s="43">
        <v>0</v>
      </c>
      <c r="AQ67" s="25">
        <v>0</v>
      </c>
      <c r="AR67" s="32">
        <v>0</v>
      </c>
      <c r="AS67" s="43">
        <v>0</v>
      </c>
      <c r="AT67" s="25">
        <v>0</v>
      </c>
      <c r="AU67" s="25">
        <f t="shared" si="13"/>
        <v>0</v>
      </c>
      <c r="AV67" s="25">
        <f t="shared" si="14"/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f t="shared" si="15"/>
        <v>0</v>
      </c>
      <c r="BC67" s="25">
        <f t="shared" si="16"/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f t="shared" si="17"/>
        <v>0</v>
      </c>
      <c r="BI67" s="29">
        <v>0</v>
      </c>
      <c r="BJ67" s="29">
        <v>0</v>
      </c>
      <c r="BK67" s="29">
        <v>0</v>
      </c>
      <c r="BL67" s="29">
        <v>0</v>
      </c>
      <c r="BM67" s="29">
        <f t="shared" si="18"/>
        <v>0</v>
      </c>
      <c r="BN67" s="30">
        <f t="shared" si="19"/>
        <v>0</v>
      </c>
    </row>
    <row r="68" spans="1:67">
      <c r="A68" s="19">
        <v>70</v>
      </c>
      <c r="B68" s="19" t="s">
        <v>254</v>
      </c>
      <c r="C68" s="19" t="s">
        <v>255</v>
      </c>
      <c r="D68" s="31" t="s">
        <v>256</v>
      </c>
      <c r="E68" s="21">
        <v>10826701</v>
      </c>
      <c r="F68" s="22">
        <v>49099.35</v>
      </c>
      <c r="G68" s="23">
        <v>126791.31999999999</v>
      </c>
      <c r="H68" s="23">
        <v>0</v>
      </c>
      <c r="I68" s="23">
        <v>0</v>
      </c>
      <c r="J68" s="23">
        <v>16952.419999999998</v>
      </c>
      <c r="K68" s="24">
        <v>30640.58</v>
      </c>
      <c r="L68" s="24">
        <f t="shared" ref="L68:L96" si="24">+J68+K68</f>
        <v>47593</v>
      </c>
      <c r="M68" s="24">
        <f t="shared" ref="M68:M94" si="25">+J68+K68</f>
        <v>47593</v>
      </c>
      <c r="N68" s="24">
        <f t="shared" ref="N68:N96" si="26">+G68+H68+I68+J68+K68</f>
        <v>174384.32</v>
      </c>
      <c r="O68" s="23">
        <v>136353.09333333335</v>
      </c>
      <c r="P68" s="23">
        <v>0</v>
      </c>
      <c r="Q68" s="23">
        <v>0</v>
      </c>
      <c r="R68" s="23">
        <v>16952.419999999998</v>
      </c>
      <c r="S68" s="23">
        <v>34023.58</v>
      </c>
      <c r="T68" s="23">
        <f t="shared" ref="T68:T96" si="27">+R68+S68</f>
        <v>50976</v>
      </c>
      <c r="U68" s="23">
        <f t="shared" ref="U68:U96" si="28">+O68+P68+Q68+R68+S68</f>
        <v>187329.09333333338</v>
      </c>
      <c r="V68" s="16">
        <v>148428.92000000001</v>
      </c>
      <c r="W68" s="16">
        <v>0</v>
      </c>
      <c r="X68" s="16">
        <v>0</v>
      </c>
      <c r="Y68" s="16">
        <v>16952.419999999998</v>
      </c>
      <c r="Z68" s="16">
        <f t="shared" ref="Z68:Z96" si="29">+Y68+AF68</f>
        <v>48122</v>
      </c>
      <c r="AA68" s="25">
        <f t="shared" si="21"/>
        <v>165381.34000000003</v>
      </c>
      <c r="AB68" s="25">
        <f t="shared" si="22"/>
        <v>411573.33333333337</v>
      </c>
      <c r="AC68" s="32">
        <f t="shared" si="22"/>
        <v>0</v>
      </c>
      <c r="AD68" s="27">
        <f t="shared" si="22"/>
        <v>0</v>
      </c>
      <c r="AE68" s="25">
        <f t="shared" si="23"/>
        <v>115521.42</v>
      </c>
      <c r="AF68" s="25">
        <v>31169.58</v>
      </c>
      <c r="AG68" s="28">
        <f t="shared" ref="AG68:AG96" si="30">+AE68+AF68</f>
        <v>146691</v>
      </c>
      <c r="AH68" s="26">
        <f t="shared" ref="AH68:AH96" si="31">+AB68+AC68+AD68+AG68</f>
        <v>558264.33333333337</v>
      </c>
      <c r="AI68" s="27">
        <v>168593.61499999999</v>
      </c>
      <c r="AJ68" s="25">
        <v>0</v>
      </c>
      <c r="AK68" s="32">
        <v>0</v>
      </c>
      <c r="AL68" s="27">
        <v>16952.419999999998</v>
      </c>
      <c r="AM68" s="25">
        <v>28664.58</v>
      </c>
      <c r="AN68" s="28">
        <f t="shared" ref="AN68:AN96" si="32">+AL68+AM68</f>
        <v>45617</v>
      </c>
      <c r="AO68" s="32">
        <f t="shared" ref="AO68:AO96" si="33">+AI68+AJ68+AK68+AL68+AM68</f>
        <v>214210.61499999999</v>
      </c>
      <c r="AP68" s="27">
        <v>188758.31</v>
      </c>
      <c r="AQ68" s="25">
        <v>0</v>
      </c>
      <c r="AR68" s="32">
        <v>0</v>
      </c>
      <c r="AS68" s="27">
        <v>16952.419999999998</v>
      </c>
      <c r="AT68" s="25">
        <v>27522.58</v>
      </c>
      <c r="AU68" s="25">
        <f t="shared" ref="AU68:AU96" si="34">+AS68+AT68</f>
        <v>44475</v>
      </c>
      <c r="AV68" s="25">
        <f t="shared" ref="AV68:AV96" si="35">+AP68+AQ68+AR68+AS68+AT68</f>
        <v>233233.31</v>
      </c>
      <c r="AW68" s="25">
        <v>188758.31</v>
      </c>
      <c r="AX68" s="25">
        <v>0</v>
      </c>
      <c r="AY68" s="25">
        <v>0</v>
      </c>
      <c r="AZ68" s="25">
        <v>16952.419999999998</v>
      </c>
      <c r="BA68" s="25">
        <v>12838.58</v>
      </c>
      <c r="BB68" s="25">
        <f t="shared" ref="BB68:BB96" si="36">+AZ68+BA68</f>
        <v>29791</v>
      </c>
      <c r="BC68" s="25">
        <f t="shared" ref="BC68:BC96" si="37">+AW68+AX68+AY68+AZ68+BA68</f>
        <v>218549.30999999997</v>
      </c>
      <c r="BD68" s="25">
        <v>151207.35</v>
      </c>
      <c r="BE68" s="25">
        <v>0</v>
      </c>
      <c r="BF68" s="25">
        <v>0</v>
      </c>
      <c r="BG68" s="25">
        <v>16952.419999999998</v>
      </c>
      <c r="BH68" s="25">
        <f t="shared" ref="BH68:BH96" si="38">+BD68+BE68+BF68+BG68</f>
        <v>168159.77000000002</v>
      </c>
      <c r="BI68" s="29">
        <v>149682.69</v>
      </c>
      <c r="BJ68" s="29">
        <v>0</v>
      </c>
      <c r="BK68" s="29">
        <v>0</v>
      </c>
      <c r="BL68" s="29">
        <v>16952.419999999998</v>
      </c>
      <c r="BM68" s="29">
        <f t="shared" ref="BM68:BM96" si="39">+BI68+BJ68+BK68+BL68</f>
        <v>166635.10999999999</v>
      </c>
      <c r="BN68" s="30">
        <f t="shared" ref="BN68:BN96" si="40">+F68+N68+U68+AA68+AF68+AO68+AV68+BC68+BH68+BM68</f>
        <v>1608151.7983333333</v>
      </c>
    </row>
    <row r="69" spans="1:67">
      <c r="A69" s="19">
        <v>72</v>
      </c>
      <c r="B69" s="33" t="s">
        <v>257</v>
      </c>
      <c r="C69" s="33" t="s">
        <v>258</v>
      </c>
      <c r="D69" s="31" t="s">
        <v>259</v>
      </c>
      <c r="E69" s="21">
        <v>7925187</v>
      </c>
      <c r="F69" s="22">
        <v>0</v>
      </c>
      <c r="G69" s="23">
        <f>88474.85-10258.5</f>
        <v>78216.350000000006</v>
      </c>
      <c r="H69" s="23">
        <v>0</v>
      </c>
      <c r="I69" s="23">
        <v>0</v>
      </c>
      <c r="J69" s="23">
        <v>48799.5</v>
      </c>
      <c r="K69" s="24">
        <v>0</v>
      </c>
      <c r="L69" s="24">
        <f t="shared" si="24"/>
        <v>48799.5</v>
      </c>
      <c r="M69" s="24">
        <f t="shared" si="25"/>
        <v>48799.5</v>
      </c>
      <c r="N69" s="24">
        <f t="shared" si="26"/>
        <v>127015.85</v>
      </c>
      <c r="O69" s="23">
        <v>74876.509999999995</v>
      </c>
      <c r="P69" s="23">
        <v>0</v>
      </c>
      <c r="Q69" s="23">
        <v>0</v>
      </c>
      <c r="R69" s="23">
        <v>42873</v>
      </c>
      <c r="S69" s="23">
        <v>13036</v>
      </c>
      <c r="T69" s="23">
        <f t="shared" si="27"/>
        <v>55909</v>
      </c>
      <c r="U69" s="23">
        <f t="shared" si="28"/>
        <v>130785.51</v>
      </c>
      <c r="V69" s="16">
        <v>74876.509999999995</v>
      </c>
      <c r="W69" s="16">
        <v>0</v>
      </c>
      <c r="X69" s="16">
        <v>0</v>
      </c>
      <c r="Y69" s="16">
        <f>43468+10258.5</f>
        <v>53726.5</v>
      </c>
      <c r="Z69" s="16">
        <f t="shared" si="29"/>
        <v>53726.5</v>
      </c>
      <c r="AA69" s="25">
        <f t="shared" si="21"/>
        <v>128603.01</v>
      </c>
      <c r="AB69" s="25">
        <f t="shared" si="22"/>
        <v>227969.37</v>
      </c>
      <c r="AC69" s="32">
        <f t="shared" si="22"/>
        <v>0</v>
      </c>
      <c r="AD69" s="27">
        <f t="shared" si="22"/>
        <v>0</v>
      </c>
      <c r="AE69" s="25">
        <f t="shared" si="23"/>
        <v>158435</v>
      </c>
      <c r="AF69" s="25">
        <v>0</v>
      </c>
      <c r="AG69" s="28">
        <f t="shared" si="30"/>
        <v>158435</v>
      </c>
      <c r="AH69" s="26">
        <f t="shared" si="31"/>
        <v>386404.37</v>
      </c>
      <c r="AI69" s="27">
        <v>74876.513333333336</v>
      </c>
      <c r="AJ69" s="25">
        <v>0</v>
      </c>
      <c r="AK69" s="32">
        <v>0</v>
      </c>
      <c r="AL69" s="27">
        <v>49688.5</v>
      </c>
      <c r="AM69" s="25">
        <v>14684.5</v>
      </c>
      <c r="AN69" s="28">
        <f t="shared" si="32"/>
        <v>64373</v>
      </c>
      <c r="AO69" s="32">
        <f t="shared" si="33"/>
        <v>139249.51333333334</v>
      </c>
      <c r="AP69" s="27">
        <v>83291.09</v>
      </c>
      <c r="AQ69" s="25">
        <v>0</v>
      </c>
      <c r="AR69" s="32">
        <v>0</v>
      </c>
      <c r="AS69" s="27">
        <v>55909</v>
      </c>
      <c r="AT69" s="25">
        <v>3691</v>
      </c>
      <c r="AU69" s="25">
        <f t="shared" si="34"/>
        <v>59600</v>
      </c>
      <c r="AV69" s="25">
        <f t="shared" si="35"/>
        <v>142891.09</v>
      </c>
      <c r="AW69" s="25">
        <v>83291.09</v>
      </c>
      <c r="AX69" s="25">
        <v>0</v>
      </c>
      <c r="AY69" s="25">
        <v>0</v>
      </c>
      <c r="AZ69" s="25">
        <v>57401.120000000003</v>
      </c>
      <c r="BA69" s="25">
        <v>0</v>
      </c>
      <c r="BB69" s="25">
        <f t="shared" si="36"/>
        <v>57401.120000000003</v>
      </c>
      <c r="BC69" s="25">
        <f t="shared" si="37"/>
        <v>140692.21</v>
      </c>
      <c r="BD69" s="25">
        <v>53115.17</v>
      </c>
      <c r="BE69" s="25">
        <v>0</v>
      </c>
      <c r="BF69" s="25">
        <v>0</v>
      </c>
      <c r="BG69" s="25">
        <v>56403.8</v>
      </c>
      <c r="BH69" s="25">
        <f t="shared" si="38"/>
        <v>109518.97</v>
      </c>
      <c r="BI69" s="29">
        <v>51713.4</v>
      </c>
      <c r="BJ69" s="29">
        <v>0</v>
      </c>
      <c r="BK69" s="29">
        <v>0</v>
      </c>
      <c r="BL69" s="29">
        <v>54360.67</v>
      </c>
      <c r="BM69" s="29">
        <f t="shared" si="39"/>
        <v>106074.07</v>
      </c>
      <c r="BN69" s="30">
        <f t="shared" si="40"/>
        <v>1024830.2233333332</v>
      </c>
    </row>
    <row r="70" spans="1:67">
      <c r="A70" s="19">
        <v>68</v>
      </c>
      <c r="B70" s="19" t="s">
        <v>260</v>
      </c>
      <c r="C70" s="19" t="s">
        <v>261</v>
      </c>
      <c r="D70" s="31" t="s">
        <v>262</v>
      </c>
      <c r="E70" s="21">
        <v>28027510</v>
      </c>
      <c r="F70" s="22">
        <v>0</v>
      </c>
      <c r="G70" s="23">
        <v>0</v>
      </c>
      <c r="H70" s="23">
        <v>0</v>
      </c>
      <c r="I70" s="23">
        <v>0</v>
      </c>
      <c r="J70" s="23">
        <v>168321.65</v>
      </c>
      <c r="K70" s="24">
        <v>0</v>
      </c>
      <c r="L70" s="24">
        <f t="shared" si="24"/>
        <v>168321.65</v>
      </c>
      <c r="M70" s="24">
        <f t="shared" si="25"/>
        <v>168321.65</v>
      </c>
      <c r="N70" s="24">
        <f t="shared" si="26"/>
        <v>168321.65</v>
      </c>
      <c r="O70" s="23">
        <v>0</v>
      </c>
      <c r="P70" s="23">
        <v>0</v>
      </c>
      <c r="Q70" s="23">
        <v>0</v>
      </c>
      <c r="R70" s="23">
        <v>155504</v>
      </c>
      <c r="S70" s="23">
        <v>42058</v>
      </c>
      <c r="T70" s="23">
        <f t="shared" si="27"/>
        <v>197562</v>
      </c>
      <c r="U70" s="23">
        <f t="shared" si="28"/>
        <v>197562</v>
      </c>
      <c r="V70" s="16">
        <v>0</v>
      </c>
      <c r="W70" s="16">
        <v>0</v>
      </c>
      <c r="X70" s="16">
        <v>0</v>
      </c>
      <c r="Y70" s="16">
        <v>159668</v>
      </c>
      <c r="Z70" s="16">
        <f t="shared" si="29"/>
        <v>195203.35</v>
      </c>
      <c r="AA70" s="25">
        <f t="shared" si="21"/>
        <v>159668</v>
      </c>
      <c r="AB70" s="25">
        <f t="shared" si="22"/>
        <v>0</v>
      </c>
      <c r="AC70" s="32">
        <f t="shared" si="22"/>
        <v>0</v>
      </c>
      <c r="AD70" s="27">
        <f t="shared" si="22"/>
        <v>0</v>
      </c>
      <c r="AE70" s="25">
        <f t="shared" si="23"/>
        <v>525551.65</v>
      </c>
      <c r="AF70" s="25">
        <v>35535.35</v>
      </c>
      <c r="AG70" s="28">
        <f t="shared" si="30"/>
        <v>561087</v>
      </c>
      <c r="AH70" s="26">
        <f t="shared" si="31"/>
        <v>561087</v>
      </c>
      <c r="AI70" s="27">
        <v>0</v>
      </c>
      <c r="AJ70" s="25">
        <v>0</v>
      </c>
      <c r="AK70" s="32">
        <v>0</v>
      </c>
      <c r="AL70" s="27">
        <v>168321.65</v>
      </c>
      <c r="AM70" s="25">
        <v>57764.35</v>
      </c>
      <c r="AN70" s="28">
        <f t="shared" si="32"/>
        <v>226086</v>
      </c>
      <c r="AO70" s="32">
        <f t="shared" si="33"/>
        <v>226086</v>
      </c>
      <c r="AP70" s="27">
        <v>0</v>
      </c>
      <c r="AQ70" s="25">
        <v>0</v>
      </c>
      <c r="AR70" s="32">
        <v>0</v>
      </c>
      <c r="AS70" s="27">
        <v>168321.65</v>
      </c>
      <c r="AT70" s="25">
        <v>5961.35</v>
      </c>
      <c r="AU70" s="25">
        <f t="shared" si="34"/>
        <v>174283</v>
      </c>
      <c r="AV70" s="25">
        <f t="shared" si="35"/>
        <v>174283</v>
      </c>
      <c r="AW70" s="25">
        <v>0</v>
      </c>
      <c r="AX70" s="25">
        <v>0</v>
      </c>
      <c r="AY70" s="25">
        <v>0</v>
      </c>
      <c r="AZ70" s="25">
        <v>168321.65</v>
      </c>
      <c r="BA70" s="25">
        <v>19962.349999999999</v>
      </c>
      <c r="BB70" s="25">
        <f t="shared" si="36"/>
        <v>188284</v>
      </c>
      <c r="BC70" s="25">
        <f t="shared" si="37"/>
        <v>188284</v>
      </c>
      <c r="BD70" s="25">
        <v>0</v>
      </c>
      <c r="BE70" s="25">
        <v>0</v>
      </c>
      <c r="BF70" s="25">
        <v>0</v>
      </c>
      <c r="BG70" s="25">
        <v>168321.65</v>
      </c>
      <c r="BH70" s="25">
        <f t="shared" si="38"/>
        <v>168321.65</v>
      </c>
      <c r="BI70" s="29">
        <v>0</v>
      </c>
      <c r="BJ70" s="29">
        <v>0</v>
      </c>
      <c r="BK70" s="29">
        <v>0</v>
      </c>
      <c r="BL70" s="29">
        <v>168321.65</v>
      </c>
      <c r="BM70" s="29">
        <f t="shared" si="39"/>
        <v>168321.65</v>
      </c>
      <c r="BN70" s="30">
        <f t="shared" si="40"/>
        <v>1486383.2999999998</v>
      </c>
    </row>
    <row r="71" spans="1:67">
      <c r="A71" s="19">
        <v>71</v>
      </c>
      <c r="B71" s="19" t="s">
        <v>263</v>
      </c>
      <c r="C71" s="19" t="s">
        <v>264</v>
      </c>
      <c r="D71" s="31" t="s">
        <v>265</v>
      </c>
      <c r="E71" s="21">
        <v>25444840</v>
      </c>
      <c r="F71" s="22">
        <v>114997.52</v>
      </c>
      <c r="G71" s="23">
        <v>0</v>
      </c>
      <c r="H71" s="23">
        <v>0</v>
      </c>
      <c r="I71" s="23">
        <v>0</v>
      </c>
      <c r="J71" s="23">
        <v>338812.52</v>
      </c>
      <c r="K71" s="24">
        <v>119395.48</v>
      </c>
      <c r="L71" s="24">
        <f t="shared" si="24"/>
        <v>458208</v>
      </c>
      <c r="M71" s="24">
        <f t="shared" si="25"/>
        <v>458208</v>
      </c>
      <c r="N71" s="24">
        <f t="shared" si="26"/>
        <v>458208</v>
      </c>
      <c r="O71" s="23">
        <v>0</v>
      </c>
      <c r="P71" s="23">
        <v>0</v>
      </c>
      <c r="Q71" s="23">
        <v>0</v>
      </c>
      <c r="R71" s="23">
        <v>338812.52</v>
      </c>
      <c r="S71" s="23">
        <v>170985.48</v>
      </c>
      <c r="T71" s="23">
        <f t="shared" si="27"/>
        <v>509798</v>
      </c>
      <c r="U71" s="23">
        <f t="shared" si="28"/>
        <v>509798</v>
      </c>
      <c r="V71" s="16">
        <v>0</v>
      </c>
      <c r="W71" s="16">
        <v>0</v>
      </c>
      <c r="X71" s="16">
        <v>0</v>
      </c>
      <c r="Y71" s="16">
        <v>338812.52</v>
      </c>
      <c r="Z71" s="16">
        <f t="shared" si="29"/>
        <v>518205</v>
      </c>
      <c r="AA71" s="25">
        <f t="shared" si="21"/>
        <v>338812.52</v>
      </c>
      <c r="AB71" s="25">
        <f t="shared" si="22"/>
        <v>0</v>
      </c>
      <c r="AC71" s="32">
        <f t="shared" si="22"/>
        <v>0</v>
      </c>
      <c r="AD71" s="27">
        <f t="shared" si="22"/>
        <v>0</v>
      </c>
      <c r="AE71" s="25">
        <f t="shared" si="23"/>
        <v>1306818.52</v>
      </c>
      <c r="AF71" s="25">
        <v>179392.48</v>
      </c>
      <c r="AG71" s="28">
        <f t="shared" si="30"/>
        <v>1486211</v>
      </c>
      <c r="AH71" s="26">
        <f t="shared" si="31"/>
        <v>1486211</v>
      </c>
      <c r="AI71" s="27">
        <v>0</v>
      </c>
      <c r="AJ71" s="25">
        <v>0</v>
      </c>
      <c r="AK71" s="32">
        <v>0</v>
      </c>
      <c r="AL71" s="27">
        <v>338812.52</v>
      </c>
      <c r="AM71" s="25">
        <v>286817.48</v>
      </c>
      <c r="AN71" s="28">
        <f t="shared" si="32"/>
        <v>625630</v>
      </c>
      <c r="AO71" s="32">
        <f t="shared" si="33"/>
        <v>625630</v>
      </c>
      <c r="AP71" s="27">
        <v>0</v>
      </c>
      <c r="AQ71" s="25">
        <v>0</v>
      </c>
      <c r="AR71" s="32">
        <v>0</v>
      </c>
      <c r="AS71" s="27">
        <v>338812.52</v>
      </c>
      <c r="AT71" s="25">
        <v>255356.48</v>
      </c>
      <c r="AU71" s="25">
        <f t="shared" si="34"/>
        <v>594169</v>
      </c>
      <c r="AV71" s="25">
        <f t="shared" si="35"/>
        <v>594169</v>
      </c>
      <c r="AW71" s="25">
        <v>0</v>
      </c>
      <c r="AX71" s="25">
        <v>0</v>
      </c>
      <c r="AY71" s="25">
        <v>0</v>
      </c>
      <c r="AZ71" s="25">
        <v>338812.52</v>
      </c>
      <c r="BA71" s="25">
        <v>231061.48</v>
      </c>
      <c r="BB71" s="25">
        <f t="shared" si="36"/>
        <v>569874</v>
      </c>
      <c r="BC71" s="25">
        <f t="shared" si="37"/>
        <v>569874</v>
      </c>
      <c r="BD71" s="25">
        <v>0</v>
      </c>
      <c r="BE71" s="25">
        <v>0</v>
      </c>
      <c r="BF71" s="25">
        <v>0</v>
      </c>
      <c r="BG71" s="25">
        <v>338812.52</v>
      </c>
      <c r="BH71" s="25">
        <f t="shared" si="38"/>
        <v>338812.52</v>
      </c>
      <c r="BI71" s="29">
        <v>0</v>
      </c>
      <c r="BJ71" s="29">
        <v>0</v>
      </c>
      <c r="BK71" s="29">
        <v>0</v>
      </c>
      <c r="BL71" s="29">
        <v>338812.52</v>
      </c>
      <c r="BM71" s="29">
        <f t="shared" si="39"/>
        <v>338812.52</v>
      </c>
      <c r="BN71" s="30">
        <f t="shared" si="40"/>
        <v>4068506.56</v>
      </c>
    </row>
    <row r="72" spans="1:67">
      <c r="A72" s="19">
        <v>66</v>
      </c>
      <c r="B72" s="19" t="s">
        <v>266</v>
      </c>
      <c r="C72" s="19" t="s">
        <v>267</v>
      </c>
      <c r="D72" s="31" t="s">
        <v>268</v>
      </c>
      <c r="E72" s="21">
        <v>18410194</v>
      </c>
      <c r="F72" s="22">
        <v>45735.28</v>
      </c>
      <c r="G72" s="23">
        <v>0</v>
      </c>
      <c r="H72" s="23">
        <v>0</v>
      </c>
      <c r="I72" s="23">
        <v>0</v>
      </c>
      <c r="J72" s="23">
        <v>319806.92</v>
      </c>
      <c r="K72" s="24">
        <v>51522.080000000002</v>
      </c>
      <c r="L72" s="24">
        <f t="shared" si="24"/>
        <v>371329</v>
      </c>
      <c r="M72" s="24">
        <f t="shared" si="25"/>
        <v>371329</v>
      </c>
      <c r="N72" s="24">
        <f t="shared" si="26"/>
        <v>371329</v>
      </c>
      <c r="O72" s="23">
        <v>0</v>
      </c>
      <c r="P72" s="23">
        <v>0</v>
      </c>
      <c r="Q72" s="23">
        <v>0</v>
      </c>
      <c r="R72" s="23">
        <v>319806.92</v>
      </c>
      <c r="S72" s="23">
        <v>68101.08</v>
      </c>
      <c r="T72" s="23">
        <f t="shared" si="27"/>
        <v>387908</v>
      </c>
      <c r="U72" s="23">
        <f t="shared" si="28"/>
        <v>387908</v>
      </c>
      <c r="V72" s="16">
        <v>0</v>
      </c>
      <c r="W72" s="16">
        <v>0</v>
      </c>
      <c r="X72" s="16">
        <v>0</v>
      </c>
      <c r="Y72" s="16">
        <v>319806.92</v>
      </c>
      <c r="Z72" s="16">
        <f t="shared" si="29"/>
        <v>364301</v>
      </c>
      <c r="AA72" s="25">
        <f t="shared" si="21"/>
        <v>319806.92</v>
      </c>
      <c r="AB72" s="25">
        <f t="shared" si="22"/>
        <v>0</v>
      </c>
      <c r="AC72" s="32">
        <f t="shared" si="22"/>
        <v>0</v>
      </c>
      <c r="AD72" s="27">
        <f t="shared" si="22"/>
        <v>0</v>
      </c>
      <c r="AE72" s="25">
        <f t="shared" si="23"/>
        <v>1079043.92</v>
      </c>
      <c r="AF72" s="25">
        <v>44494.080000000002</v>
      </c>
      <c r="AG72" s="28">
        <f t="shared" si="30"/>
        <v>1123538</v>
      </c>
      <c r="AH72" s="26">
        <f t="shared" si="31"/>
        <v>1123538</v>
      </c>
      <c r="AI72" s="27">
        <v>0</v>
      </c>
      <c r="AJ72" s="25">
        <v>0</v>
      </c>
      <c r="AK72" s="32">
        <v>0</v>
      </c>
      <c r="AL72" s="27">
        <v>319806.92</v>
      </c>
      <c r="AM72" s="25">
        <v>98447.08</v>
      </c>
      <c r="AN72" s="28">
        <f t="shared" si="32"/>
        <v>418254</v>
      </c>
      <c r="AO72" s="32">
        <f t="shared" si="33"/>
        <v>418254</v>
      </c>
      <c r="AP72" s="27">
        <v>0</v>
      </c>
      <c r="AQ72" s="25">
        <v>0</v>
      </c>
      <c r="AR72" s="32">
        <v>0</v>
      </c>
      <c r="AS72" s="27">
        <v>319806.92</v>
      </c>
      <c r="AT72" s="25">
        <v>55827.08</v>
      </c>
      <c r="AU72" s="25">
        <f t="shared" si="34"/>
        <v>375634</v>
      </c>
      <c r="AV72" s="25">
        <f t="shared" si="35"/>
        <v>375634</v>
      </c>
      <c r="AW72" s="25">
        <v>0</v>
      </c>
      <c r="AX72" s="25">
        <v>0</v>
      </c>
      <c r="AY72" s="25">
        <v>0</v>
      </c>
      <c r="AZ72" s="25">
        <v>319806.92</v>
      </c>
      <c r="BA72" s="25">
        <v>35746.080000000002</v>
      </c>
      <c r="BB72" s="25">
        <f t="shared" si="36"/>
        <v>355553</v>
      </c>
      <c r="BC72" s="25">
        <f t="shared" si="37"/>
        <v>355553</v>
      </c>
      <c r="BD72" s="25">
        <v>0</v>
      </c>
      <c r="BE72" s="25">
        <v>0</v>
      </c>
      <c r="BF72" s="25">
        <v>0</v>
      </c>
      <c r="BG72" s="25">
        <v>319806.92</v>
      </c>
      <c r="BH72" s="25">
        <f t="shared" si="38"/>
        <v>319806.92</v>
      </c>
      <c r="BI72" s="29">
        <v>0</v>
      </c>
      <c r="BJ72" s="29">
        <v>0</v>
      </c>
      <c r="BK72" s="29">
        <v>0</v>
      </c>
      <c r="BL72" s="29">
        <v>319806.92</v>
      </c>
      <c r="BM72" s="29">
        <f t="shared" si="39"/>
        <v>319806.92</v>
      </c>
      <c r="BN72" s="30">
        <f t="shared" si="40"/>
        <v>2958328.12</v>
      </c>
    </row>
    <row r="73" spans="1:67">
      <c r="A73" s="19">
        <v>67</v>
      </c>
      <c r="B73" s="19" t="s">
        <v>269</v>
      </c>
      <c r="C73" s="19" t="s">
        <v>270</v>
      </c>
      <c r="D73" s="31" t="s">
        <v>271</v>
      </c>
      <c r="E73" s="21">
        <v>32079321</v>
      </c>
      <c r="F73" s="22">
        <v>83315.740000000005</v>
      </c>
      <c r="G73" s="23">
        <v>0</v>
      </c>
      <c r="H73" s="23">
        <v>0</v>
      </c>
      <c r="I73" s="23">
        <v>0</v>
      </c>
      <c r="J73" s="23">
        <v>108089.98</v>
      </c>
      <c r="K73" s="24">
        <v>42820.02</v>
      </c>
      <c r="L73" s="24">
        <f t="shared" si="24"/>
        <v>150910</v>
      </c>
      <c r="M73" s="24">
        <f t="shared" si="25"/>
        <v>150910</v>
      </c>
      <c r="N73" s="24">
        <f t="shared" si="26"/>
        <v>150910</v>
      </c>
      <c r="O73" s="23">
        <v>0</v>
      </c>
      <c r="P73" s="23">
        <v>0</v>
      </c>
      <c r="Q73" s="23">
        <v>0</v>
      </c>
      <c r="R73" s="23">
        <v>108089.98</v>
      </c>
      <c r="S73" s="23">
        <v>53001.02</v>
      </c>
      <c r="T73" s="23">
        <f t="shared" si="27"/>
        <v>161091</v>
      </c>
      <c r="U73" s="23">
        <f t="shared" si="28"/>
        <v>161091</v>
      </c>
      <c r="V73" s="16">
        <v>0</v>
      </c>
      <c r="W73" s="16">
        <v>0</v>
      </c>
      <c r="X73" s="16">
        <v>0</v>
      </c>
      <c r="Y73" s="16">
        <v>108089.98</v>
      </c>
      <c r="Z73" s="16">
        <f t="shared" si="29"/>
        <v>160759</v>
      </c>
      <c r="AA73" s="25">
        <f t="shared" si="21"/>
        <v>108089.98</v>
      </c>
      <c r="AB73" s="25">
        <f t="shared" si="22"/>
        <v>0</v>
      </c>
      <c r="AC73" s="32">
        <f t="shared" si="22"/>
        <v>0</v>
      </c>
      <c r="AD73" s="27">
        <f t="shared" si="22"/>
        <v>0</v>
      </c>
      <c r="AE73" s="25">
        <f t="shared" si="23"/>
        <v>420090.98000000004</v>
      </c>
      <c r="AF73" s="25">
        <v>52669.02</v>
      </c>
      <c r="AG73" s="28">
        <f t="shared" si="30"/>
        <v>472760.00000000006</v>
      </c>
      <c r="AH73" s="26">
        <f t="shared" si="31"/>
        <v>472760.00000000006</v>
      </c>
      <c r="AI73" s="27">
        <v>0</v>
      </c>
      <c r="AJ73" s="25">
        <v>0</v>
      </c>
      <c r="AK73" s="32">
        <v>0</v>
      </c>
      <c r="AL73" s="27">
        <v>108089.98</v>
      </c>
      <c r="AM73" s="25">
        <v>52289.02</v>
      </c>
      <c r="AN73" s="28">
        <f t="shared" si="32"/>
        <v>160379</v>
      </c>
      <c r="AO73" s="32">
        <f t="shared" si="33"/>
        <v>160379</v>
      </c>
      <c r="AP73" s="27">
        <v>0</v>
      </c>
      <c r="AQ73" s="25">
        <v>0</v>
      </c>
      <c r="AR73" s="32">
        <v>0</v>
      </c>
      <c r="AS73" s="27">
        <v>108089.98</v>
      </c>
      <c r="AT73" s="25">
        <v>49473.02</v>
      </c>
      <c r="AU73" s="25">
        <f t="shared" si="34"/>
        <v>157563</v>
      </c>
      <c r="AV73" s="25">
        <f t="shared" si="35"/>
        <v>157563</v>
      </c>
      <c r="AW73" s="25">
        <v>0</v>
      </c>
      <c r="AX73" s="25">
        <v>0</v>
      </c>
      <c r="AY73" s="25">
        <v>0</v>
      </c>
      <c r="AZ73" s="25">
        <v>108089.98</v>
      </c>
      <c r="BA73" s="25">
        <v>50718.02</v>
      </c>
      <c r="BB73" s="25">
        <f t="shared" si="36"/>
        <v>158808</v>
      </c>
      <c r="BC73" s="25">
        <f t="shared" si="37"/>
        <v>158808</v>
      </c>
      <c r="BD73" s="25">
        <v>0</v>
      </c>
      <c r="BE73" s="25">
        <v>0</v>
      </c>
      <c r="BF73" s="25">
        <v>0</v>
      </c>
      <c r="BG73" s="25">
        <v>108089.98</v>
      </c>
      <c r="BH73" s="25">
        <f t="shared" si="38"/>
        <v>108089.98</v>
      </c>
      <c r="BI73" s="29">
        <v>0</v>
      </c>
      <c r="BJ73" s="29">
        <v>0</v>
      </c>
      <c r="BK73" s="29">
        <v>0</v>
      </c>
      <c r="BL73" s="29">
        <v>108089.98</v>
      </c>
      <c r="BM73" s="29">
        <f t="shared" si="39"/>
        <v>108089.98</v>
      </c>
      <c r="BN73" s="30">
        <f t="shared" si="40"/>
        <v>1249005.7</v>
      </c>
    </row>
    <row r="74" spans="1:67">
      <c r="A74" s="19">
        <v>69</v>
      </c>
      <c r="B74" s="19" t="s">
        <v>272</v>
      </c>
      <c r="C74" s="19" t="s">
        <v>273</v>
      </c>
      <c r="D74" s="31" t="s">
        <v>274</v>
      </c>
      <c r="E74" s="21">
        <v>21597492</v>
      </c>
      <c r="F74" s="22">
        <v>0</v>
      </c>
      <c r="G74" s="23">
        <v>0</v>
      </c>
      <c r="H74" s="23">
        <v>0</v>
      </c>
      <c r="I74" s="23">
        <v>0</v>
      </c>
      <c r="J74" s="23">
        <v>212835.68000000002</v>
      </c>
      <c r="K74" s="24">
        <v>6418.32</v>
      </c>
      <c r="L74" s="24">
        <f t="shared" si="24"/>
        <v>219254.00000000003</v>
      </c>
      <c r="M74" s="24">
        <f t="shared" si="25"/>
        <v>219254.00000000003</v>
      </c>
      <c r="N74" s="24">
        <f t="shared" si="26"/>
        <v>219254.00000000003</v>
      </c>
      <c r="O74" s="23">
        <v>0</v>
      </c>
      <c r="P74" s="23">
        <v>0</v>
      </c>
      <c r="Q74" s="23">
        <v>0</v>
      </c>
      <c r="R74" s="23">
        <v>212835.68000000002</v>
      </c>
      <c r="S74" s="23">
        <v>14109.32</v>
      </c>
      <c r="T74" s="23">
        <f t="shared" si="27"/>
        <v>226945.00000000003</v>
      </c>
      <c r="U74" s="23">
        <f t="shared" si="28"/>
        <v>226945.00000000003</v>
      </c>
      <c r="V74" s="16">
        <v>0</v>
      </c>
      <c r="W74" s="16">
        <v>0</v>
      </c>
      <c r="X74" s="16">
        <v>0</v>
      </c>
      <c r="Y74" s="16">
        <v>212835.68000000002</v>
      </c>
      <c r="Z74" s="16">
        <f t="shared" si="29"/>
        <v>224541.00000000003</v>
      </c>
      <c r="AA74" s="25">
        <f t="shared" si="21"/>
        <v>212835.68000000002</v>
      </c>
      <c r="AB74" s="25">
        <f t="shared" si="22"/>
        <v>0</v>
      </c>
      <c r="AC74" s="32">
        <f t="shared" si="22"/>
        <v>0</v>
      </c>
      <c r="AD74" s="27">
        <f t="shared" si="22"/>
        <v>0</v>
      </c>
      <c r="AE74" s="25">
        <f t="shared" si="23"/>
        <v>659034.67999999993</v>
      </c>
      <c r="AF74" s="25">
        <v>11705.32</v>
      </c>
      <c r="AG74" s="28">
        <f t="shared" si="30"/>
        <v>670739.99999999988</v>
      </c>
      <c r="AH74" s="26">
        <f t="shared" si="31"/>
        <v>670739.99999999988</v>
      </c>
      <c r="AI74" s="27">
        <v>0</v>
      </c>
      <c r="AJ74" s="25">
        <v>0</v>
      </c>
      <c r="AK74" s="32">
        <v>0</v>
      </c>
      <c r="AL74" s="27">
        <v>212835.68000000002</v>
      </c>
      <c r="AM74" s="25">
        <v>21342.32</v>
      </c>
      <c r="AN74" s="28">
        <f t="shared" si="32"/>
        <v>234178.00000000003</v>
      </c>
      <c r="AO74" s="32">
        <f t="shared" si="33"/>
        <v>234178.00000000003</v>
      </c>
      <c r="AP74" s="27">
        <v>0</v>
      </c>
      <c r="AQ74" s="25">
        <v>0</v>
      </c>
      <c r="AR74" s="32">
        <v>0</v>
      </c>
      <c r="AS74" s="27">
        <v>212835.68000000002</v>
      </c>
      <c r="AT74" s="25">
        <v>9183.32</v>
      </c>
      <c r="AU74" s="25">
        <f t="shared" si="34"/>
        <v>222019.00000000003</v>
      </c>
      <c r="AV74" s="25">
        <f t="shared" si="35"/>
        <v>222019.00000000003</v>
      </c>
      <c r="AW74" s="25">
        <v>0</v>
      </c>
      <c r="AX74" s="25">
        <v>0</v>
      </c>
      <c r="AY74" s="25">
        <v>0</v>
      </c>
      <c r="AZ74" s="25">
        <v>212835.68</v>
      </c>
      <c r="BA74" s="25">
        <v>0</v>
      </c>
      <c r="BB74" s="25">
        <f t="shared" si="36"/>
        <v>212835.68</v>
      </c>
      <c r="BC74" s="25">
        <f t="shared" si="37"/>
        <v>212835.68</v>
      </c>
      <c r="BD74" s="25">
        <v>0</v>
      </c>
      <c r="BE74" s="25">
        <v>0</v>
      </c>
      <c r="BF74" s="25">
        <v>0</v>
      </c>
      <c r="BG74" s="25">
        <v>212835.68</v>
      </c>
      <c r="BH74" s="25">
        <f t="shared" si="38"/>
        <v>212835.68</v>
      </c>
      <c r="BI74" s="29">
        <v>0</v>
      </c>
      <c r="BJ74" s="29">
        <v>0</v>
      </c>
      <c r="BK74" s="29">
        <v>0</v>
      </c>
      <c r="BL74" s="29">
        <v>212835.68</v>
      </c>
      <c r="BM74" s="29">
        <f t="shared" si="39"/>
        <v>212835.68</v>
      </c>
      <c r="BN74" s="30">
        <f t="shared" si="40"/>
        <v>1765444.0399999998</v>
      </c>
    </row>
    <row r="75" spans="1:67">
      <c r="A75" s="19">
        <v>73</v>
      </c>
      <c r="B75" s="19" t="s">
        <v>275</v>
      </c>
      <c r="C75" s="19" t="s">
        <v>276</v>
      </c>
      <c r="D75" s="31" t="s">
        <v>277</v>
      </c>
      <c r="E75" s="21">
        <v>16696406</v>
      </c>
      <c r="F75" s="22">
        <v>6993.54</v>
      </c>
      <c r="G75" s="23">
        <v>0</v>
      </c>
      <c r="H75" s="23">
        <v>0</v>
      </c>
      <c r="I75" s="23">
        <v>0</v>
      </c>
      <c r="J75" s="23">
        <v>37555.35</v>
      </c>
      <c r="K75" s="24">
        <v>0</v>
      </c>
      <c r="L75" s="24">
        <f t="shared" si="24"/>
        <v>37555.35</v>
      </c>
      <c r="M75" s="24">
        <f t="shared" si="25"/>
        <v>37555.35</v>
      </c>
      <c r="N75" s="24">
        <f t="shared" si="26"/>
        <v>37555.35</v>
      </c>
      <c r="O75" s="23">
        <v>0</v>
      </c>
      <c r="P75" s="23">
        <v>0</v>
      </c>
      <c r="Q75" s="23">
        <v>0</v>
      </c>
      <c r="R75" s="23">
        <v>37555.35</v>
      </c>
      <c r="S75" s="23">
        <v>7251.65</v>
      </c>
      <c r="T75" s="23">
        <f t="shared" si="27"/>
        <v>44807</v>
      </c>
      <c r="U75" s="23">
        <f t="shared" si="28"/>
        <v>44807</v>
      </c>
      <c r="V75" s="16">
        <v>0</v>
      </c>
      <c r="W75" s="16">
        <v>0</v>
      </c>
      <c r="X75" s="16">
        <v>0</v>
      </c>
      <c r="Y75" s="16">
        <v>37555.35</v>
      </c>
      <c r="Z75" s="16">
        <f t="shared" si="29"/>
        <v>39502.65</v>
      </c>
      <c r="AA75" s="25">
        <f t="shared" si="21"/>
        <v>37555.35</v>
      </c>
      <c r="AB75" s="25">
        <f t="shared" si="22"/>
        <v>0</v>
      </c>
      <c r="AC75" s="32">
        <f t="shared" si="22"/>
        <v>0</v>
      </c>
      <c r="AD75" s="27">
        <f t="shared" si="22"/>
        <v>0</v>
      </c>
      <c r="AE75" s="25">
        <f t="shared" si="23"/>
        <v>119917.69999999998</v>
      </c>
      <c r="AF75" s="25">
        <v>1947.3</v>
      </c>
      <c r="AG75" s="28">
        <f t="shared" si="30"/>
        <v>121864.99999999999</v>
      </c>
      <c r="AH75" s="26">
        <f t="shared" si="31"/>
        <v>121864.99999999999</v>
      </c>
      <c r="AI75" s="27">
        <v>0</v>
      </c>
      <c r="AJ75" s="25">
        <v>0</v>
      </c>
      <c r="AK75" s="32">
        <v>0</v>
      </c>
      <c r="AL75" s="27">
        <v>37555.35</v>
      </c>
      <c r="AM75" s="25">
        <v>0</v>
      </c>
      <c r="AN75" s="28">
        <f t="shared" si="32"/>
        <v>37555.35</v>
      </c>
      <c r="AO75" s="32">
        <f t="shared" si="33"/>
        <v>37555.35</v>
      </c>
      <c r="AP75" s="27">
        <v>0</v>
      </c>
      <c r="AQ75" s="25">
        <v>0</v>
      </c>
      <c r="AR75" s="32">
        <v>0</v>
      </c>
      <c r="AS75" s="27">
        <v>37555.35</v>
      </c>
      <c r="AT75" s="25">
        <v>0</v>
      </c>
      <c r="AU75" s="25">
        <f t="shared" si="34"/>
        <v>37555.35</v>
      </c>
      <c r="AV75" s="25">
        <f t="shared" si="35"/>
        <v>37555.35</v>
      </c>
      <c r="AW75" s="25">
        <v>0</v>
      </c>
      <c r="AX75" s="25">
        <v>0</v>
      </c>
      <c r="AY75" s="25">
        <v>0</v>
      </c>
      <c r="AZ75" s="25">
        <v>37555.35</v>
      </c>
      <c r="BA75" s="25">
        <v>0</v>
      </c>
      <c r="BB75" s="25">
        <f t="shared" si="36"/>
        <v>37555.35</v>
      </c>
      <c r="BC75" s="25">
        <f t="shared" si="37"/>
        <v>37555.35</v>
      </c>
      <c r="BD75" s="25">
        <v>0</v>
      </c>
      <c r="BE75" s="25">
        <v>0</v>
      </c>
      <c r="BF75" s="25">
        <v>0</v>
      </c>
      <c r="BG75" s="25">
        <v>35509.599999999999</v>
      </c>
      <c r="BH75" s="25">
        <f t="shared" si="38"/>
        <v>35509.599999999999</v>
      </c>
      <c r="BI75" s="29">
        <v>0</v>
      </c>
      <c r="BJ75" s="29">
        <v>0</v>
      </c>
      <c r="BK75" s="29">
        <v>0</v>
      </c>
      <c r="BL75" s="29">
        <v>35217.33</v>
      </c>
      <c r="BM75" s="29">
        <f t="shared" si="39"/>
        <v>35217.33</v>
      </c>
      <c r="BN75" s="30">
        <f t="shared" si="40"/>
        <v>312251.52000000002</v>
      </c>
    </row>
    <row r="76" spans="1:67">
      <c r="A76" s="19">
        <v>74</v>
      </c>
      <c r="B76" s="19" t="s">
        <v>278</v>
      </c>
      <c r="C76" s="19" t="s">
        <v>279</v>
      </c>
      <c r="D76" s="31" t="s">
        <v>280</v>
      </c>
      <c r="E76" s="21">
        <v>33728613</v>
      </c>
      <c r="F76" s="22">
        <v>0</v>
      </c>
      <c r="G76" s="23">
        <v>0</v>
      </c>
      <c r="H76" s="23">
        <v>0</v>
      </c>
      <c r="I76" s="23">
        <v>145278.56</v>
      </c>
      <c r="J76" s="23">
        <v>0</v>
      </c>
      <c r="K76" s="24">
        <v>0</v>
      </c>
      <c r="L76" s="24">
        <f t="shared" si="24"/>
        <v>0</v>
      </c>
      <c r="M76" s="24">
        <f t="shared" si="25"/>
        <v>0</v>
      </c>
      <c r="N76" s="24">
        <f t="shared" si="26"/>
        <v>145278.56</v>
      </c>
      <c r="O76" s="23">
        <v>0</v>
      </c>
      <c r="P76" s="23">
        <v>0</v>
      </c>
      <c r="Q76" s="23">
        <v>123978.31999999999</v>
      </c>
      <c r="R76" s="23">
        <v>0</v>
      </c>
      <c r="S76" s="23">
        <v>0</v>
      </c>
      <c r="T76" s="23">
        <f t="shared" si="27"/>
        <v>0</v>
      </c>
      <c r="U76" s="23">
        <f t="shared" si="28"/>
        <v>123978.31999999999</v>
      </c>
      <c r="V76" s="16">
        <v>0</v>
      </c>
      <c r="W76" s="16">
        <v>0</v>
      </c>
      <c r="X76" s="16">
        <v>124797.56</v>
      </c>
      <c r="Y76" s="16">
        <v>0</v>
      </c>
      <c r="Z76" s="16">
        <f t="shared" si="29"/>
        <v>0</v>
      </c>
      <c r="AA76" s="25">
        <f t="shared" si="21"/>
        <v>124797.56</v>
      </c>
      <c r="AB76" s="25">
        <f t="shared" si="22"/>
        <v>0</v>
      </c>
      <c r="AC76" s="32">
        <f t="shared" si="22"/>
        <v>0</v>
      </c>
      <c r="AD76" s="27">
        <f t="shared" si="22"/>
        <v>394054.44</v>
      </c>
      <c r="AE76" s="25">
        <f t="shared" si="23"/>
        <v>0</v>
      </c>
      <c r="AF76" s="25">
        <v>0</v>
      </c>
      <c r="AG76" s="28">
        <f t="shared" si="30"/>
        <v>0</v>
      </c>
      <c r="AH76" s="26">
        <f t="shared" si="31"/>
        <v>394054.44</v>
      </c>
      <c r="AI76" s="27">
        <v>0</v>
      </c>
      <c r="AJ76" s="25">
        <v>0</v>
      </c>
      <c r="AK76" s="32">
        <v>134355.35999999999</v>
      </c>
      <c r="AL76" s="27">
        <v>0</v>
      </c>
      <c r="AM76" s="25">
        <v>0</v>
      </c>
      <c r="AN76" s="28">
        <f t="shared" si="32"/>
        <v>0</v>
      </c>
      <c r="AO76" s="32">
        <f t="shared" si="33"/>
        <v>134355.35999999999</v>
      </c>
      <c r="AP76" s="27">
        <v>0</v>
      </c>
      <c r="AQ76" s="25">
        <v>0</v>
      </c>
      <c r="AR76" s="32">
        <v>148282.44</v>
      </c>
      <c r="AS76" s="27">
        <v>0</v>
      </c>
      <c r="AT76" s="25">
        <v>0</v>
      </c>
      <c r="AU76" s="25">
        <f t="shared" si="34"/>
        <v>0</v>
      </c>
      <c r="AV76" s="25">
        <f t="shared" si="35"/>
        <v>148282.44</v>
      </c>
      <c r="AW76" s="25">
        <v>0</v>
      </c>
      <c r="AX76" s="25">
        <v>0</v>
      </c>
      <c r="AY76" s="25">
        <v>170401.92000000001</v>
      </c>
      <c r="AZ76" s="25">
        <v>0</v>
      </c>
      <c r="BA76" s="25">
        <v>0</v>
      </c>
      <c r="BB76" s="25">
        <f t="shared" si="36"/>
        <v>0</v>
      </c>
      <c r="BC76" s="25">
        <f t="shared" si="37"/>
        <v>170401.92000000001</v>
      </c>
      <c r="BD76" s="25">
        <v>0</v>
      </c>
      <c r="BE76" s="25">
        <v>0</v>
      </c>
      <c r="BF76" s="25">
        <v>146789.6</v>
      </c>
      <c r="BG76" s="25">
        <v>0</v>
      </c>
      <c r="BH76" s="25">
        <f t="shared" si="38"/>
        <v>146789.6</v>
      </c>
      <c r="BI76" s="29">
        <v>0</v>
      </c>
      <c r="BJ76" s="29">
        <v>0</v>
      </c>
      <c r="BK76" s="29">
        <v>141667.84</v>
      </c>
      <c r="BL76" s="29">
        <v>0</v>
      </c>
      <c r="BM76" s="29">
        <f t="shared" si="39"/>
        <v>141667.84</v>
      </c>
      <c r="BN76" s="30">
        <f t="shared" si="40"/>
        <v>1135551.6000000001</v>
      </c>
    </row>
    <row r="77" spans="1:67" ht="14.25" customHeight="1">
      <c r="A77" s="19">
        <v>76</v>
      </c>
      <c r="B77" s="19" t="s">
        <v>281</v>
      </c>
      <c r="C77" s="19" t="s">
        <v>282</v>
      </c>
      <c r="D77" s="31" t="s">
        <v>283</v>
      </c>
      <c r="E77" s="21">
        <v>28472640</v>
      </c>
      <c r="F77" s="22">
        <v>0</v>
      </c>
      <c r="G77" s="23">
        <v>33144.07</v>
      </c>
      <c r="H77" s="23">
        <v>0</v>
      </c>
      <c r="I77" s="23">
        <v>0</v>
      </c>
      <c r="J77" s="23">
        <v>78978.67</v>
      </c>
      <c r="K77" s="24">
        <v>52107.33</v>
      </c>
      <c r="L77" s="24">
        <f t="shared" si="24"/>
        <v>131086</v>
      </c>
      <c r="M77" s="24">
        <f t="shared" si="25"/>
        <v>131086</v>
      </c>
      <c r="N77" s="24">
        <f t="shared" si="26"/>
        <v>164230.07</v>
      </c>
      <c r="O77" s="23">
        <f>45761.5666666667+35522</f>
        <v>81283.566666666709</v>
      </c>
      <c r="P77" s="23">
        <v>0</v>
      </c>
      <c r="Q77" s="23">
        <v>0</v>
      </c>
      <c r="R77" s="23">
        <v>78978.67</v>
      </c>
      <c r="S77" s="23">
        <v>80679.33</v>
      </c>
      <c r="T77" s="23">
        <f t="shared" si="27"/>
        <v>159658</v>
      </c>
      <c r="U77" s="23">
        <f t="shared" si="28"/>
        <v>240941.56666666671</v>
      </c>
      <c r="V77" s="16">
        <v>81283.570000000007</v>
      </c>
      <c r="W77" s="16">
        <v>0</v>
      </c>
      <c r="X77" s="16">
        <v>0</v>
      </c>
      <c r="Y77" s="16">
        <v>78978.67</v>
      </c>
      <c r="Z77" s="16">
        <f t="shared" si="29"/>
        <v>142273</v>
      </c>
      <c r="AA77" s="25">
        <f t="shared" si="21"/>
        <v>160262.24</v>
      </c>
      <c r="AB77" s="25">
        <f t="shared" si="22"/>
        <v>195711.20666666672</v>
      </c>
      <c r="AC77" s="32">
        <f t="shared" si="22"/>
        <v>0</v>
      </c>
      <c r="AD77" s="27">
        <f t="shared" si="22"/>
        <v>0</v>
      </c>
      <c r="AE77" s="25">
        <f t="shared" si="23"/>
        <v>369722.67000000004</v>
      </c>
      <c r="AF77" s="25">
        <v>63294.33</v>
      </c>
      <c r="AG77" s="28">
        <f t="shared" si="30"/>
        <v>433017.00000000006</v>
      </c>
      <c r="AH77" s="26">
        <f t="shared" si="31"/>
        <v>628728.20666666678</v>
      </c>
      <c r="AI77" s="27">
        <f>81283.57+19282.5</f>
        <v>100566.07</v>
      </c>
      <c r="AJ77" s="25">
        <v>0</v>
      </c>
      <c r="AK77" s="32">
        <v>0</v>
      </c>
      <c r="AL77" s="27">
        <v>78978.67</v>
      </c>
      <c r="AM77" s="25">
        <v>102404.33</v>
      </c>
      <c r="AN77" s="28">
        <f t="shared" si="32"/>
        <v>181383</v>
      </c>
      <c r="AO77" s="32">
        <f t="shared" si="33"/>
        <v>281949.07</v>
      </c>
      <c r="AP77" s="27">
        <f>81283.57+139000.11</f>
        <v>220283.68</v>
      </c>
      <c r="AQ77" s="25">
        <v>0</v>
      </c>
      <c r="AR77" s="32">
        <v>0</v>
      </c>
      <c r="AS77" s="27">
        <v>78978.67</v>
      </c>
      <c r="AT77" s="25">
        <v>115610.33</v>
      </c>
      <c r="AU77" s="25">
        <f t="shared" si="34"/>
        <v>194589</v>
      </c>
      <c r="AV77" s="25">
        <f t="shared" si="35"/>
        <v>414872.68</v>
      </c>
      <c r="AW77" s="25">
        <v>192119.02</v>
      </c>
      <c r="AX77" s="25">
        <v>0</v>
      </c>
      <c r="AY77" s="25">
        <v>0</v>
      </c>
      <c r="AZ77" s="25">
        <v>78978.67</v>
      </c>
      <c r="BA77" s="25">
        <v>117449.33</v>
      </c>
      <c r="BB77" s="25">
        <f t="shared" si="36"/>
        <v>196428</v>
      </c>
      <c r="BC77" s="25">
        <f t="shared" si="37"/>
        <v>388547.02</v>
      </c>
      <c r="BD77" s="25">
        <f>129005.02+150330.6</f>
        <v>279335.62</v>
      </c>
      <c r="BE77" s="25">
        <v>0</v>
      </c>
      <c r="BF77" s="25">
        <v>0</v>
      </c>
      <c r="BG77" s="25">
        <v>78978.67</v>
      </c>
      <c r="BH77" s="25">
        <f t="shared" si="38"/>
        <v>358314.29</v>
      </c>
      <c r="BI77" s="29">
        <v>154061.12</v>
      </c>
      <c r="BJ77" s="29">
        <v>0</v>
      </c>
      <c r="BK77" s="29">
        <v>0</v>
      </c>
      <c r="BL77" s="29">
        <v>78978.67</v>
      </c>
      <c r="BM77" s="29">
        <f t="shared" si="39"/>
        <v>233039.78999999998</v>
      </c>
      <c r="BN77" s="30">
        <f t="shared" si="40"/>
        <v>2305451.0566666666</v>
      </c>
      <c r="BO77" s="5"/>
    </row>
    <row r="78" spans="1:67" ht="30">
      <c r="A78" s="19">
        <v>75</v>
      </c>
      <c r="B78" s="19" t="s">
        <v>284</v>
      </c>
      <c r="C78" s="19" t="s">
        <v>285</v>
      </c>
      <c r="D78" s="49" t="s">
        <v>286</v>
      </c>
      <c r="E78" s="21">
        <v>32963041</v>
      </c>
      <c r="F78" s="22">
        <v>0</v>
      </c>
      <c r="G78" s="23">
        <v>0</v>
      </c>
      <c r="H78" s="23">
        <v>0</v>
      </c>
      <c r="I78" s="23">
        <v>262156.79999999999</v>
      </c>
      <c r="J78" s="23">
        <v>0</v>
      </c>
      <c r="K78" s="24">
        <v>0</v>
      </c>
      <c r="L78" s="24">
        <f t="shared" si="24"/>
        <v>0</v>
      </c>
      <c r="M78" s="24">
        <f t="shared" si="25"/>
        <v>0</v>
      </c>
      <c r="N78" s="24">
        <f t="shared" si="26"/>
        <v>262156.79999999999</v>
      </c>
      <c r="O78" s="23">
        <v>0</v>
      </c>
      <c r="P78" s="23">
        <v>0</v>
      </c>
      <c r="Q78" s="23">
        <v>262156.79999999999</v>
      </c>
      <c r="R78" s="23">
        <v>0</v>
      </c>
      <c r="S78" s="23">
        <v>0</v>
      </c>
      <c r="T78" s="23">
        <f t="shared" si="27"/>
        <v>0</v>
      </c>
      <c r="U78" s="23">
        <f t="shared" si="28"/>
        <v>262156.79999999999</v>
      </c>
      <c r="V78" s="16">
        <v>0</v>
      </c>
      <c r="W78" s="16">
        <v>0</v>
      </c>
      <c r="X78" s="16">
        <v>262156.79999999999</v>
      </c>
      <c r="Y78" s="16">
        <v>0</v>
      </c>
      <c r="Z78" s="16">
        <f t="shared" si="29"/>
        <v>0</v>
      </c>
      <c r="AA78" s="25">
        <f t="shared" si="21"/>
        <v>262156.79999999999</v>
      </c>
      <c r="AB78" s="25">
        <f t="shared" si="22"/>
        <v>0</v>
      </c>
      <c r="AC78" s="50">
        <f t="shared" si="22"/>
        <v>0</v>
      </c>
      <c r="AD78" s="27">
        <f t="shared" si="22"/>
        <v>786470.39999999991</v>
      </c>
      <c r="AE78" s="25">
        <f t="shared" si="23"/>
        <v>0</v>
      </c>
      <c r="AF78" s="51">
        <v>0</v>
      </c>
      <c r="AG78" s="28">
        <f t="shared" si="30"/>
        <v>0</v>
      </c>
      <c r="AH78" s="26">
        <f t="shared" si="31"/>
        <v>786470.39999999991</v>
      </c>
      <c r="AI78" s="27">
        <v>0</v>
      </c>
      <c r="AJ78" s="25">
        <v>0</v>
      </c>
      <c r="AK78" s="50">
        <v>262156.79999999999</v>
      </c>
      <c r="AL78" s="27">
        <v>0</v>
      </c>
      <c r="AM78" s="25">
        <v>0</v>
      </c>
      <c r="AN78" s="28">
        <f t="shared" si="32"/>
        <v>0</v>
      </c>
      <c r="AO78" s="50">
        <f t="shared" si="33"/>
        <v>262156.79999999999</v>
      </c>
      <c r="AP78" s="27">
        <v>0</v>
      </c>
      <c r="AQ78" s="25">
        <v>0</v>
      </c>
      <c r="AR78" s="50">
        <v>262156.79999999999</v>
      </c>
      <c r="AS78" s="27">
        <v>0</v>
      </c>
      <c r="AT78" s="25">
        <v>0</v>
      </c>
      <c r="AU78" s="25">
        <f t="shared" si="34"/>
        <v>0</v>
      </c>
      <c r="AV78" s="25">
        <f t="shared" si="35"/>
        <v>262156.79999999999</v>
      </c>
      <c r="AW78" s="25">
        <v>0</v>
      </c>
      <c r="AX78" s="25">
        <v>0</v>
      </c>
      <c r="AY78" s="25">
        <v>262156.79999999999</v>
      </c>
      <c r="AZ78" s="25">
        <v>0</v>
      </c>
      <c r="BA78" s="25">
        <v>0</v>
      </c>
      <c r="BB78" s="25">
        <f t="shared" si="36"/>
        <v>0</v>
      </c>
      <c r="BC78" s="25">
        <f t="shared" si="37"/>
        <v>262156.79999999999</v>
      </c>
      <c r="BD78" s="25">
        <v>0</v>
      </c>
      <c r="BE78" s="25">
        <v>0</v>
      </c>
      <c r="BF78" s="25">
        <v>262156.79999999999</v>
      </c>
      <c r="BG78" s="25">
        <v>0</v>
      </c>
      <c r="BH78" s="25">
        <f t="shared" si="38"/>
        <v>262156.79999999999</v>
      </c>
      <c r="BI78" s="29">
        <v>0</v>
      </c>
      <c r="BJ78" s="29">
        <v>0</v>
      </c>
      <c r="BK78" s="29">
        <v>262156.79999999999</v>
      </c>
      <c r="BL78" s="29">
        <v>0</v>
      </c>
      <c r="BM78" s="29">
        <f t="shared" si="39"/>
        <v>262156.79999999999</v>
      </c>
      <c r="BN78" s="30">
        <f t="shared" si="40"/>
        <v>2097254.3999999999</v>
      </c>
    </row>
    <row r="79" spans="1:67">
      <c r="A79" s="19">
        <v>77</v>
      </c>
      <c r="B79" s="19" t="s">
        <v>287</v>
      </c>
      <c r="C79" s="19" t="s">
        <v>288</v>
      </c>
      <c r="D79" s="31" t="s">
        <v>289</v>
      </c>
      <c r="E79" s="21">
        <v>29237235</v>
      </c>
      <c r="F79" s="22">
        <v>0</v>
      </c>
      <c r="G79" s="23">
        <v>1170551.54</v>
      </c>
      <c r="H79" s="23">
        <v>0</v>
      </c>
      <c r="I79" s="23">
        <v>0</v>
      </c>
      <c r="J79" s="23">
        <v>31716.5</v>
      </c>
      <c r="K79" s="24">
        <v>1323.5</v>
      </c>
      <c r="L79" s="24">
        <f t="shared" si="24"/>
        <v>33040</v>
      </c>
      <c r="M79" s="24">
        <f t="shared" si="25"/>
        <v>33040</v>
      </c>
      <c r="N79" s="24">
        <f t="shared" si="26"/>
        <v>1203591.54</v>
      </c>
      <c r="O79" s="23">
        <v>1170551.54</v>
      </c>
      <c r="P79" s="23">
        <v>0</v>
      </c>
      <c r="Q79" s="23">
        <v>0</v>
      </c>
      <c r="R79" s="23">
        <v>31591.666666666668</v>
      </c>
      <c r="S79" s="23">
        <v>450.33</v>
      </c>
      <c r="T79" s="23">
        <f t="shared" si="27"/>
        <v>32041.99666666667</v>
      </c>
      <c r="U79" s="23">
        <f t="shared" si="28"/>
        <v>1202593.5366666669</v>
      </c>
      <c r="V79" s="16">
        <v>1170551.54</v>
      </c>
      <c r="W79" s="16">
        <v>0</v>
      </c>
      <c r="X79" s="16">
        <v>0</v>
      </c>
      <c r="Y79" s="16">
        <v>33040</v>
      </c>
      <c r="Z79" s="16">
        <f t="shared" si="29"/>
        <v>33570</v>
      </c>
      <c r="AA79" s="25">
        <f t="shared" si="21"/>
        <v>1203591.54</v>
      </c>
      <c r="AB79" s="25">
        <f t="shared" si="22"/>
        <v>3511654.62</v>
      </c>
      <c r="AC79" s="32">
        <f t="shared" si="22"/>
        <v>0</v>
      </c>
      <c r="AD79" s="27">
        <f t="shared" si="22"/>
        <v>0</v>
      </c>
      <c r="AE79" s="25">
        <f t="shared" si="23"/>
        <v>98121.996666666673</v>
      </c>
      <c r="AF79" s="25">
        <v>530</v>
      </c>
      <c r="AG79" s="28">
        <f t="shared" si="30"/>
        <v>98651.996666666673</v>
      </c>
      <c r="AH79" s="26">
        <f t="shared" si="31"/>
        <v>3610306.6166666667</v>
      </c>
      <c r="AI79" s="27">
        <v>1170551.54</v>
      </c>
      <c r="AJ79" s="25">
        <v>0</v>
      </c>
      <c r="AK79" s="32">
        <v>0</v>
      </c>
      <c r="AL79" s="27">
        <v>33040</v>
      </c>
      <c r="AM79" s="25">
        <v>557</v>
      </c>
      <c r="AN79" s="28">
        <f t="shared" si="32"/>
        <v>33597</v>
      </c>
      <c r="AO79" s="32">
        <f t="shared" si="33"/>
        <v>1204148.54</v>
      </c>
      <c r="AP79" s="27">
        <v>1170551.54</v>
      </c>
      <c r="AQ79" s="25">
        <v>0</v>
      </c>
      <c r="AR79" s="32">
        <v>0</v>
      </c>
      <c r="AS79" s="27">
        <v>33040</v>
      </c>
      <c r="AT79" s="25">
        <v>1738</v>
      </c>
      <c r="AU79" s="25">
        <f t="shared" si="34"/>
        <v>34778</v>
      </c>
      <c r="AV79" s="25">
        <f t="shared" si="35"/>
        <v>1205329.54</v>
      </c>
      <c r="AW79" s="25">
        <v>1170551.54</v>
      </c>
      <c r="AX79" s="25">
        <v>0</v>
      </c>
      <c r="AY79" s="25">
        <v>0</v>
      </c>
      <c r="AZ79" s="25">
        <v>33597</v>
      </c>
      <c r="BA79" s="25">
        <v>515</v>
      </c>
      <c r="BB79" s="25">
        <f t="shared" si="36"/>
        <v>34112</v>
      </c>
      <c r="BC79" s="25">
        <f t="shared" si="37"/>
        <v>1204663.54</v>
      </c>
      <c r="BD79" s="25">
        <v>1198334.0900000001</v>
      </c>
      <c r="BE79" s="25">
        <v>0</v>
      </c>
      <c r="BF79" s="25">
        <v>0</v>
      </c>
      <c r="BG79" s="25">
        <v>33405.4</v>
      </c>
      <c r="BH79" s="25">
        <f t="shared" si="38"/>
        <v>1231739.49</v>
      </c>
      <c r="BI79" s="29">
        <v>1196232.45</v>
      </c>
      <c r="BJ79" s="29">
        <v>0</v>
      </c>
      <c r="BK79" s="29">
        <v>0</v>
      </c>
      <c r="BL79" s="29">
        <v>33523.17</v>
      </c>
      <c r="BM79" s="29">
        <f t="shared" si="39"/>
        <v>1229755.6199999999</v>
      </c>
      <c r="BN79" s="30">
        <f t="shared" si="40"/>
        <v>9685943.3466666657</v>
      </c>
    </row>
    <row r="80" spans="1:67">
      <c r="C80" s="52" t="s">
        <v>290</v>
      </c>
      <c r="D80" s="52" t="s">
        <v>291</v>
      </c>
      <c r="E80" s="53"/>
      <c r="F80" s="22">
        <v>0</v>
      </c>
      <c r="G80" s="23">
        <v>0</v>
      </c>
      <c r="H80" s="23">
        <v>0</v>
      </c>
      <c r="I80" s="23">
        <v>0</v>
      </c>
      <c r="J80" s="23">
        <v>0</v>
      </c>
      <c r="K80" s="24">
        <v>0</v>
      </c>
      <c r="L80" s="24">
        <f t="shared" si="24"/>
        <v>0</v>
      </c>
      <c r="M80" s="24">
        <f t="shared" si="25"/>
        <v>0</v>
      </c>
      <c r="N80" s="24">
        <f t="shared" si="26"/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f t="shared" si="27"/>
        <v>0</v>
      </c>
      <c r="U80" s="23">
        <f t="shared" si="28"/>
        <v>0</v>
      </c>
      <c r="V80" s="16">
        <v>0</v>
      </c>
      <c r="W80" s="16">
        <v>0</v>
      </c>
      <c r="X80" s="16">
        <v>0</v>
      </c>
      <c r="Y80" s="16">
        <v>0</v>
      </c>
      <c r="Z80" s="16">
        <f t="shared" si="29"/>
        <v>0</v>
      </c>
      <c r="AA80" s="54">
        <f t="shared" si="21"/>
        <v>0</v>
      </c>
      <c r="AB80" s="54">
        <f t="shared" si="22"/>
        <v>0</v>
      </c>
      <c r="AC80" s="54">
        <f t="shared" si="22"/>
        <v>0</v>
      </c>
      <c r="AD80" s="55">
        <f t="shared" si="22"/>
        <v>0</v>
      </c>
      <c r="AE80" s="54">
        <f t="shared" si="23"/>
        <v>0</v>
      </c>
      <c r="AF80" s="54">
        <v>0</v>
      </c>
      <c r="AG80" s="28">
        <f t="shared" si="30"/>
        <v>0</v>
      </c>
      <c r="AH80" s="26">
        <f t="shared" si="31"/>
        <v>0</v>
      </c>
      <c r="AI80" s="55">
        <v>0</v>
      </c>
      <c r="AJ80" s="54">
        <v>0</v>
      </c>
      <c r="AK80" s="54">
        <v>0</v>
      </c>
      <c r="AL80" s="55">
        <v>0</v>
      </c>
      <c r="AM80" s="54">
        <v>0</v>
      </c>
      <c r="AN80" s="28">
        <f t="shared" si="32"/>
        <v>0</v>
      </c>
      <c r="AO80" s="54">
        <f t="shared" si="33"/>
        <v>0</v>
      </c>
      <c r="AP80" s="55">
        <v>0</v>
      </c>
      <c r="AQ80" s="54">
        <v>0</v>
      </c>
      <c r="AR80" s="54">
        <v>0</v>
      </c>
      <c r="AS80" s="55">
        <v>0</v>
      </c>
      <c r="AT80" s="25">
        <v>0</v>
      </c>
      <c r="AU80" s="25">
        <f t="shared" si="34"/>
        <v>0</v>
      </c>
      <c r="AV80" s="25">
        <f t="shared" si="35"/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  <c r="BB80" s="25">
        <f t="shared" si="36"/>
        <v>0</v>
      </c>
      <c r="BC80" s="25">
        <f t="shared" si="37"/>
        <v>0</v>
      </c>
      <c r="BD80" s="25">
        <v>0</v>
      </c>
      <c r="BE80" s="25">
        <v>0</v>
      </c>
      <c r="BF80" s="25">
        <v>0</v>
      </c>
      <c r="BG80" s="25">
        <v>0</v>
      </c>
      <c r="BH80" s="25">
        <f t="shared" si="38"/>
        <v>0</v>
      </c>
      <c r="BI80" s="29">
        <v>0</v>
      </c>
      <c r="BJ80" s="29">
        <v>0</v>
      </c>
      <c r="BK80" s="29">
        <v>0</v>
      </c>
      <c r="BL80" s="29">
        <v>0</v>
      </c>
      <c r="BM80" s="29">
        <f t="shared" si="39"/>
        <v>0</v>
      </c>
      <c r="BN80" s="30">
        <f t="shared" si="40"/>
        <v>0</v>
      </c>
    </row>
    <row r="81" spans="1:66">
      <c r="A81" s="19">
        <v>78</v>
      </c>
      <c r="B81" s="33" t="s">
        <v>292</v>
      </c>
      <c r="C81" s="33" t="s">
        <v>293</v>
      </c>
      <c r="D81" s="31" t="s">
        <v>294</v>
      </c>
      <c r="E81" s="21">
        <v>10716504</v>
      </c>
      <c r="F81" s="22">
        <v>42278.16</v>
      </c>
      <c r="G81" s="23">
        <v>0</v>
      </c>
      <c r="H81" s="23">
        <v>0</v>
      </c>
      <c r="I81" s="23">
        <v>0</v>
      </c>
      <c r="J81" s="23">
        <v>104156.21</v>
      </c>
      <c r="K81" s="24">
        <v>27192.79</v>
      </c>
      <c r="L81" s="24">
        <f t="shared" si="24"/>
        <v>131349</v>
      </c>
      <c r="M81" s="24">
        <f t="shared" si="25"/>
        <v>131349</v>
      </c>
      <c r="N81" s="24">
        <f t="shared" si="26"/>
        <v>131349</v>
      </c>
      <c r="O81" s="23">
        <v>0</v>
      </c>
      <c r="P81" s="23">
        <v>0</v>
      </c>
      <c r="Q81" s="23">
        <v>0</v>
      </c>
      <c r="R81" s="23">
        <v>104156.21</v>
      </c>
      <c r="S81" s="23">
        <v>16043.79</v>
      </c>
      <c r="T81" s="23">
        <f t="shared" si="27"/>
        <v>120200</v>
      </c>
      <c r="U81" s="23">
        <f t="shared" si="28"/>
        <v>120200</v>
      </c>
      <c r="V81" s="16">
        <v>0</v>
      </c>
      <c r="W81" s="16">
        <v>0</v>
      </c>
      <c r="X81" s="16">
        <v>0</v>
      </c>
      <c r="Y81" s="16">
        <v>104156.21</v>
      </c>
      <c r="Z81" s="16">
        <f t="shared" si="29"/>
        <v>124303</v>
      </c>
      <c r="AA81" s="25">
        <f t="shared" si="21"/>
        <v>104156.21</v>
      </c>
      <c r="AB81" s="25">
        <f t="shared" si="22"/>
        <v>0</v>
      </c>
      <c r="AC81" s="32">
        <f t="shared" si="22"/>
        <v>0</v>
      </c>
      <c r="AD81" s="27">
        <f t="shared" si="22"/>
        <v>0</v>
      </c>
      <c r="AE81" s="25">
        <f t="shared" si="23"/>
        <v>355705.20999999996</v>
      </c>
      <c r="AF81" s="25">
        <v>20146.79</v>
      </c>
      <c r="AG81" s="28">
        <f t="shared" si="30"/>
        <v>375851.99999999994</v>
      </c>
      <c r="AH81" s="26">
        <f t="shared" si="31"/>
        <v>375851.99999999994</v>
      </c>
      <c r="AI81" s="27">
        <v>0</v>
      </c>
      <c r="AJ81" s="25">
        <v>0</v>
      </c>
      <c r="AK81" s="32">
        <v>0</v>
      </c>
      <c r="AL81" s="27">
        <v>104156.21</v>
      </c>
      <c r="AM81" s="25">
        <v>39473.79</v>
      </c>
      <c r="AN81" s="28">
        <f t="shared" si="32"/>
        <v>143630</v>
      </c>
      <c r="AO81" s="32">
        <f t="shared" si="33"/>
        <v>143630</v>
      </c>
      <c r="AP81" s="27">
        <v>0</v>
      </c>
      <c r="AQ81" s="25">
        <v>0</v>
      </c>
      <c r="AR81" s="32">
        <v>0</v>
      </c>
      <c r="AS81" s="27">
        <v>104156.21</v>
      </c>
      <c r="AT81" s="25">
        <v>21196.79</v>
      </c>
      <c r="AU81" s="25">
        <f t="shared" si="34"/>
        <v>125353</v>
      </c>
      <c r="AV81" s="25">
        <f t="shared" si="35"/>
        <v>125353</v>
      </c>
      <c r="AW81" s="25">
        <v>0</v>
      </c>
      <c r="AX81" s="25">
        <v>0</v>
      </c>
      <c r="AY81" s="25">
        <v>0</v>
      </c>
      <c r="AZ81" s="25">
        <v>104156.21</v>
      </c>
      <c r="BA81" s="25">
        <v>12111.79</v>
      </c>
      <c r="BB81" s="25">
        <f t="shared" si="36"/>
        <v>116268</v>
      </c>
      <c r="BC81" s="25">
        <f t="shared" si="37"/>
        <v>116268</v>
      </c>
      <c r="BD81" s="25">
        <v>0</v>
      </c>
      <c r="BE81" s="25">
        <v>0</v>
      </c>
      <c r="BF81" s="25">
        <v>0</v>
      </c>
      <c r="BG81" s="25">
        <v>104156.21</v>
      </c>
      <c r="BH81" s="25">
        <f t="shared" si="38"/>
        <v>104156.21</v>
      </c>
      <c r="BI81" s="29">
        <v>0</v>
      </c>
      <c r="BJ81" s="29">
        <v>0</v>
      </c>
      <c r="BK81" s="29">
        <v>0</v>
      </c>
      <c r="BL81" s="29">
        <v>104156.21</v>
      </c>
      <c r="BM81" s="29">
        <f t="shared" si="39"/>
        <v>104156.21</v>
      </c>
      <c r="BN81" s="30">
        <f t="shared" si="40"/>
        <v>1011693.58</v>
      </c>
    </row>
    <row r="82" spans="1:66">
      <c r="A82" s="19">
        <v>79</v>
      </c>
      <c r="B82" s="33" t="s">
        <v>295</v>
      </c>
      <c r="C82" s="33" t="s">
        <v>296</v>
      </c>
      <c r="D82" s="31" t="s">
        <v>297</v>
      </c>
      <c r="E82" s="21">
        <v>25610853</v>
      </c>
      <c r="F82" s="22">
        <v>200026.31</v>
      </c>
      <c r="G82" s="23">
        <v>0</v>
      </c>
      <c r="H82" s="23">
        <v>0</v>
      </c>
      <c r="I82" s="23">
        <v>0</v>
      </c>
      <c r="J82" s="23">
        <v>528636.35</v>
      </c>
      <c r="K82" s="24">
        <v>131871.65</v>
      </c>
      <c r="L82" s="24">
        <f t="shared" si="24"/>
        <v>660508</v>
      </c>
      <c r="M82" s="24">
        <f t="shared" si="25"/>
        <v>660508</v>
      </c>
      <c r="N82" s="24">
        <f t="shared" si="26"/>
        <v>660508</v>
      </c>
      <c r="O82" s="23">
        <v>0</v>
      </c>
      <c r="P82" s="23">
        <v>0</v>
      </c>
      <c r="Q82" s="23">
        <v>0</v>
      </c>
      <c r="R82" s="23">
        <v>528636.35</v>
      </c>
      <c r="S82" s="23">
        <v>284542.65000000002</v>
      </c>
      <c r="T82" s="23">
        <f t="shared" si="27"/>
        <v>813179</v>
      </c>
      <c r="U82" s="23">
        <f t="shared" si="28"/>
        <v>813179</v>
      </c>
      <c r="V82" s="16">
        <v>0</v>
      </c>
      <c r="W82" s="16">
        <v>0</v>
      </c>
      <c r="X82" s="16">
        <v>0</v>
      </c>
      <c r="Y82" s="16">
        <v>528636.35</v>
      </c>
      <c r="Z82" s="16">
        <f t="shared" si="29"/>
        <v>882211</v>
      </c>
      <c r="AA82" s="25">
        <f t="shared" si="21"/>
        <v>528636.35</v>
      </c>
      <c r="AB82" s="25">
        <f t="shared" si="22"/>
        <v>0</v>
      </c>
      <c r="AC82" s="32">
        <f t="shared" si="22"/>
        <v>0</v>
      </c>
      <c r="AD82" s="27">
        <f t="shared" si="22"/>
        <v>0</v>
      </c>
      <c r="AE82" s="25">
        <f t="shared" si="23"/>
        <v>2002323.3499999996</v>
      </c>
      <c r="AF82" s="25">
        <v>353574.65</v>
      </c>
      <c r="AG82" s="28">
        <f t="shared" si="30"/>
        <v>2355897.9999999995</v>
      </c>
      <c r="AH82" s="26">
        <f t="shared" si="31"/>
        <v>2355897.9999999995</v>
      </c>
      <c r="AI82" s="27">
        <v>0</v>
      </c>
      <c r="AJ82" s="25">
        <v>0</v>
      </c>
      <c r="AK82" s="32">
        <v>0</v>
      </c>
      <c r="AL82" s="27">
        <v>528636.35</v>
      </c>
      <c r="AM82" s="25">
        <v>392075.65</v>
      </c>
      <c r="AN82" s="28">
        <f t="shared" si="32"/>
        <v>920712</v>
      </c>
      <c r="AO82" s="32">
        <f t="shared" si="33"/>
        <v>920712</v>
      </c>
      <c r="AP82" s="27">
        <v>0</v>
      </c>
      <c r="AQ82" s="25">
        <v>0</v>
      </c>
      <c r="AR82" s="32">
        <v>0</v>
      </c>
      <c r="AS82" s="27">
        <v>528636.35</v>
      </c>
      <c r="AT82" s="25">
        <v>367186.65</v>
      </c>
      <c r="AU82" s="25">
        <f t="shared" si="34"/>
        <v>895823</v>
      </c>
      <c r="AV82" s="25">
        <f t="shared" si="35"/>
        <v>895823</v>
      </c>
      <c r="AW82" s="25">
        <v>0</v>
      </c>
      <c r="AX82" s="25">
        <v>0</v>
      </c>
      <c r="AY82" s="25">
        <v>0</v>
      </c>
      <c r="AZ82" s="25">
        <v>528636.35</v>
      </c>
      <c r="BA82" s="25">
        <v>391885.65</v>
      </c>
      <c r="BB82" s="25">
        <f t="shared" si="36"/>
        <v>920522</v>
      </c>
      <c r="BC82" s="25">
        <f t="shared" si="37"/>
        <v>920522</v>
      </c>
      <c r="BD82" s="25">
        <v>0</v>
      </c>
      <c r="BE82" s="25">
        <v>0</v>
      </c>
      <c r="BF82" s="25">
        <v>0</v>
      </c>
      <c r="BG82" s="25">
        <v>528636.35</v>
      </c>
      <c r="BH82" s="25">
        <f t="shared" si="38"/>
        <v>528636.35</v>
      </c>
      <c r="BI82" s="29">
        <v>0</v>
      </c>
      <c r="BJ82" s="29">
        <v>0</v>
      </c>
      <c r="BK82" s="29">
        <v>0</v>
      </c>
      <c r="BL82" s="29">
        <v>528636.35</v>
      </c>
      <c r="BM82" s="29">
        <f t="shared" si="39"/>
        <v>528636.35</v>
      </c>
      <c r="BN82" s="30">
        <f t="shared" si="40"/>
        <v>6350254.0099999998</v>
      </c>
    </row>
    <row r="83" spans="1:66">
      <c r="A83" s="19">
        <v>80</v>
      </c>
      <c r="B83" s="19" t="s">
        <v>298</v>
      </c>
      <c r="C83" s="19" t="s">
        <v>299</v>
      </c>
      <c r="D83" s="31" t="s">
        <v>300</v>
      </c>
      <c r="E83" s="21">
        <v>14468339</v>
      </c>
      <c r="F83" s="22">
        <v>0</v>
      </c>
      <c r="G83" s="23">
        <v>0</v>
      </c>
      <c r="H83" s="23">
        <v>0</v>
      </c>
      <c r="I83" s="23">
        <v>0</v>
      </c>
      <c r="J83" s="23">
        <v>27012.43</v>
      </c>
      <c r="K83" s="24">
        <v>7939.57</v>
      </c>
      <c r="L83" s="24">
        <f t="shared" si="24"/>
        <v>34952</v>
      </c>
      <c r="M83" s="24">
        <f t="shared" si="25"/>
        <v>34952</v>
      </c>
      <c r="N83" s="24">
        <f t="shared" si="26"/>
        <v>34952</v>
      </c>
      <c r="O83" s="23">
        <v>0</v>
      </c>
      <c r="P83" s="23">
        <v>0</v>
      </c>
      <c r="Q83" s="23">
        <v>0</v>
      </c>
      <c r="R83" s="23">
        <v>25281.666666666668</v>
      </c>
      <c r="S83" s="23">
        <v>8593.33</v>
      </c>
      <c r="T83" s="23">
        <f t="shared" si="27"/>
        <v>33874.996666666666</v>
      </c>
      <c r="U83" s="23">
        <f t="shared" si="28"/>
        <v>33874.996666666666</v>
      </c>
      <c r="V83" s="16">
        <v>0</v>
      </c>
      <c r="W83" s="16">
        <v>0</v>
      </c>
      <c r="X83" s="16">
        <v>0</v>
      </c>
      <c r="Y83" s="16">
        <v>27012.43</v>
      </c>
      <c r="Z83" s="16">
        <f t="shared" si="29"/>
        <v>30609</v>
      </c>
      <c r="AA83" s="25">
        <f t="shared" si="21"/>
        <v>27012.43</v>
      </c>
      <c r="AB83" s="25">
        <f t="shared" si="22"/>
        <v>0</v>
      </c>
      <c r="AC83" s="32">
        <f t="shared" si="22"/>
        <v>0</v>
      </c>
      <c r="AD83" s="27">
        <f t="shared" si="22"/>
        <v>0</v>
      </c>
      <c r="AE83" s="25">
        <f t="shared" si="23"/>
        <v>95839.426666666681</v>
      </c>
      <c r="AF83" s="25">
        <v>3596.57</v>
      </c>
      <c r="AG83" s="28">
        <f t="shared" si="30"/>
        <v>99435.996666666688</v>
      </c>
      <c r="AH83" s="26">
        <f t="shared" si="31"/>
        <v>99435.996666666688</v>
      </c>
      <c r="AI83" s="27">
        <v>0</v>
      </c>
      <c r="AJ83" s="25">
        <v>0</v>
      </c>
      <c r="AK83" s="32">
        <v>0</v>
      </c>
      <c r="AL83" s="27">
        <v>27012.43</v>
      </c>
      <c r="AM83" s="25">
        <v>747.57</v>
      </c>
      <c r="AN83" s="28">
        <f t="shared" si="32"/>
        <v>27760</v>
      </c>
      <c r="AO83" s="32">
        <f t="shared" si="33"/>
        <v>27760</v>
      </c>
      <c r="AP83" s="27">
        <v>0</v>
      </c>
      <c r="AQ83" s="25">
        <v>0</v>
      </c>
      <c r="AR83" s="32">
        <v>0</v>
      </c>
      <c r="AS83" s="27">
        <v>27012.43</v>
      </c>
      <c r="AT83" s="25">
        <v>3978.57</v>
      </c>
      <c r="AU83" s="25">
        <f t="shared" si="34"/>
        <v>30991</v>
      </c>
      <c r="AV83" s="25">
        <f t="shared" si="35"/>
        <v>30991</v>
      </c>
      <c r="AW83" s="25">
        <v>0</v>
      </c>
      <c r="AX83" s="25">
        <v>0</v>
      </c>
      <c r="AY83" s="25">
        <v>0</v>
      </c>
      <c r="AZ83" s="25">
        <v>27012.43</v>
      </c>
      <c r="BA83" s="25">
        <v>0</v>
      </c>
      <c r="BB83" s="25">
        <f t="shared" si="36"/>
        <v>27012.43</v>
      </c>
      <c r="BC83" s="25">
        <f t="shared" si="37"/>
        <v>27012.43</v>
      </c>
      <c r="BD83" s="25">
        <v>0</v>
      </c>
      <c r="BE83" s="25">
        <v>0</v>
      </c>
      <c r="BF83" s="25">
        <v>0</v>
      </c>
      <c r="BG83" s="25">
        <v>27012.43</v>
      </c>
      <c r="BH83" s="25">
        <f t="shared" si="38"/>
        <v>27012.43</v>
      </c>
      <c r="BI83" s="29">
        <v>0</v>
      </c>
      <c r="BJ83" s="29">
        <v>0</v>
      </c>
      <c r="BK83" s="29">
        <v>0</v>
      </c>
      <c r="BL83" s="29">
        <v>27012.43</v>
      </c>
      <c r="BM83" s="29">
        <f t="shared" si="39"/>
        <v>27012.43</v>
      </c>
      <c r="BN83" s="30">
        <f t="shared" si="40"/>
        <v>239224.28666666665</v>
      </c>
    </row>
    <row r="84" spans="1:66">
      <c r="A84" s="19">
        <v>81</v>
      </c>
      <c r="B84" s="56" t="s">
        <v>301</v>
      </c>
      <c r="C84" s="19" t="s">
        <v>302</v>
      </c>
      <c r="D84" s="31" t="s">
        <v>303</v>
      </c>
      <c r="E84" s="21">
        <v>18559219</v>
      </c>
      <c r="F84" s="22">
        <v>30243.59</v>
      </c>
      <c r="G84" s="23">
        <v>0</v>
      </c>
      <c r="H84" s="23">
        <v>0</v>
      </c>
      <c r="I84" s="23">
        <v>0</v>
      </c>
      <c r="J84" s="23">
        <v>32853.35</v>
      </c>
      <c r="K84" s="24">
        <v>37795.65</v>
      </c>
      <c r="L84" s="24">
        <f t="shared" si="24"/>
        <v>70649</v>
      </c>
      <c r="M84" s="24">
        <f t="shared" si="25"/>
        <v>70649</v>
      </c>
      <c r="N84" s="24">
        <f t="shared" si="26"/>
        <v>70649</v>
      </c>
      <c r="O84" s="23"/>
      <c r="P84" s="23">
        <v>0</v>
      </c>
      <c r="Q84" s="23">
        <v>0</v>
      </c>
      <c r="R84" s="23">
        <v>32853.35</v>
      </c>
      <c r="S84" s="23">
        <v>6449.65</v>
      </c>
      <c r="T84" s="23">
        <f t="shared" si="27"/>
        <v>39303</v>
      </c>
      <c r="U84" s="23">
        <f t="shared" si="28"/>
        <v>39303</v>
      </c>
      <c r="V84" s="16">
        <v>0</v>
      </c>
      <c r="W84" s="16">
        <v>0</v>
      </c>
      <c r="X84" s="16">
        <v>0</v>
      </c>
      <c r="Y84" s="16">
        <v>32853.35</v>
      </c>
      <c r="Z84" s="16">
        <f t="shared" si="29"/>
        <v>57132</v>
      </c>
      <c r="AA84" s="25">
        <f t="shared" si="21"/>
        <v>32853.35</v>
      </c>
      <c r="AB84" s="25">
        <f t="shared" si="22"/>
        <v>0</v>
      </c>
      <c r="AC84" s="32">
        <f t="shared" si="22"/>
        <v>0</v>
      </c>
      <c r="AD84" s="27">
        <f t="shared" si="22"/>
        <v>0</v>
      </c>
      <c r="AE84" s="25">
        <f t="shared" si="23"/>
        <v>142805.34999999998</v>
      </c>
      <c r="AF84" s="25">
        <v>24278.65</v>
      </c>
      <c r="AG84" s="28">
        <f t="shared" si="30"/>
        <v>167083.99999999997</v>
      </c>
      <c r="AH84" s="26">
        <f t="shared" si="31"/>
        <v>167083.99999999997</v>
      </c>
      <c r="AI84" s="27">
        <v>0</v>
      </c>
      <c r="AJ84" s="25">
        <v>0</v>
      </c>
      <c r="AK84" s="32">
        <v>0</v>
      </c>
      <c r="AL84" s="27">
        <v>32853.35</v>
      </c>
      <c r="AM84" s="25">
        <v>36405.65</v>
      </c>
      <c r="AN84" s="28">
        <f t="shared" si="32"/>
        <v>69259</v>
      </c>
      <c r="AO84" s="32">
        <f t="shared" si="33"/>
        <v>69259</v>
      </c>
      <c r="AP84" s="27">
        <v>0</v>
      </c>
      <c r="AQ84" s="25">
        <v>0</v>
      </c>
      <c r="AR84" s="32">
        <v>0</v>
      </c>
      <c r="AS84" s="27">
        <v>32853.35</v>
      </c>
      <c r="AT84" s="25">
        <v>4676.6499999999996</v>
      </c>
      <c r="AU84" s="25">
        <f t="shared" si="34"/>
        <v>37530</v>
      </c>
      <c r="AV84" s="25">
        <f t="shared" si="35"/>
        <v>37530</v>
      </c>
      <c r="AW84" s="25">
        <v>0</v>
      </c>
      <c r="AX84" s="25">
        <v>0</v>
      </c>
      <c r="AY84" s="25">
        <v>0</v>
      </c>
      <c r="AZ84" s="25">
        <v>32853.35</v>
      </c>
      <c r="BA84" s="25">
        <v>12775.65</v>
      </c>
      <c r="BB84" s="25">
        <f t="shared" si="36"/>
        <v>45629</v>
      </c>
      <c r="BC84" s="25">
        <f t="shared" si="37"/>
        <v>45629</v>
      </c>
      <c r="BD84" s="25">
        <v>0</v>
      </c>
      <c r="BE84" s="25">
        <v>0</v>
      </c>
      <c r="BF84" s="25">
        <v>0</v>
      </c>
      <c r="BG84" s="25">
        <v>32853.35</v>
      </c>
      <c r="BH84" s="25">
        <f t="shared" si="38"/>
        <v>32853.35</v>
      </c>
      <c r="BI84" s="29">
        <v>0</v>
      </c>
      <c r="BJ84" s="29">
        <v>0</v>
      </c>
      <c r="BK84" s="29">
        <v>0</v>
      </c>
      <c r="BL84" s="29">
        <v>32853.35</v>
      </c>
      <c r="BM84" s="29">
        <f t="shared" si="39"/>
        <v>32853.35</v>
      </c>
      <c r="BN84" s="30">
        <f t="shared" si="40"/>
        <v>415452.28999999992</v>
      </c>
    </row>
    <row r="85" spans="1:66">
      <c r="A85" s="19">
        <v>82</v>
      </c>
      <c r="B85" s="56" t="s">
        <v>304</v>
      </c>
      <c r="C85" s="19" t="s">
        <v>305</v>
      </c>
      <c r="D85" s="31" t="s">
        <v>306</v>
      </c>
      <c r="E85" s="21">
        <v>34414414</v>
      </c>
      <c r="F85" s="22">
        <v>86990.85</v>
      </c>
      <c r="G85" s="23">
        <v>0</v>
      </c>
      <c r="H85" s="23">
        <v>0</v>
      </c>
      <c r="I85" s="23">
        <v>0</v>
      </c>
      <c r="J85" s="23">
        <v>784459.45000000007</v>
      </c>
      <c r="K85" s="24">
        <v>0</v>
      </c>
      <c r="L85" s="24">
        <f t="shared" si="24"/>
        <v>784459.45000000007</v>
      </c>
      <c r="M85" s="24">
        <f t="shared" si="25"/>
        <v>784459.45000000007</v>
      </c>
      <c r="N85" s="24">
        <f t="shared" si="26"/>
        <v>784459.45000000007</v>
      </c>
      <c r="O85" s="23">
        <v>0</v>
      </c>
      <c r="P85" s="23">
        <v>0</v>
      </c>
      <c r="Q85" s="23">
        <v>0</v>
      </c>
      <c r="R85" s="23">
        <v>784459.45000000007</v>
      </c>
      <c r="S85" s="23">
        <v>157074.54999999999</v>
      </c>
      <c r="T85" s="23">
        <f t="shared" si="27"/>
        <v>941534</v>
      </c>
      <c r="U85" s="23">
        <f t="shared" si="28"/>
        <v>941534</v>
      </c>
      <c r="V85" s="16">
        <v>0</v>
      </c>
      <c r="W85" s="16">
        <v>0</v>
      </c>
      <c r="X85" s="16">
        <v>0</v>
      </c>
      <c r="Y85" s="16">
        <v>784459.45000000007</v>
      </c>
      <c r="Z85" s="16">
        <f t="shared" si="29"/>
        <v>1109270.55</v>
      </c>
      <c r="AA85" s="25">
        <f t="shared" si="21"/>
        <v>784459.45000000007</v>
      </c>
      <c r="AB85" s="25">
        <f t="shared" si="22"/>
        <v>0</v>
      </c>
      <c r="AC85" s="32">
        <f t="shared" si="22"/>
        <v>0</v>
      </c>
      <c r="AD85" s="27">
        <f t="shared" si="22"/>
        <v>0</v>
      </c>
      <c r="AE85" s="25">
        <f t="shared" si="23"/>
        <v>2510452.9</v>
      </c>
      <c r="AF85" s="25">
        <v>324811.09999999998</v>
      </c>
      <c r="AG85" s="28">
        <f t="shared" si="30"/>
        <v>2835264</v>
      </c>
      <c r="AH85" s="26">
        <f t="shared" si="31"/>
        <v>2835264</v>
      </c>
      <c r="AI85" s="27">
        <v>0</v>
      </c>
      <c r="AJ85" s="25">
        <v>0</v>
      </c>
      <c r="AK85" s="32">
        <v>0</v>
      </c>
      <c r="AL85" s="27">
        <v>784459.45000000007</v>
      </c>
      <c r="AM85" s="25">
        <v>281367.55</v>
      </c>
      <c r="AN85" s="28">
        <f t="shared" si="32"/>
        <v>1065827</v>
      </c>
      <c r="AO85" s="32">
        <f t="shared" si="33"/>
        <v>1065827</v>
      </c>
      <c r="AP85" s="27">
        <v>0</v>
      </c>
      <c r="AQ85" s="25">
        <v>0</v>
      </c>
      <c r="AR85" s="32">
        <v>0</v>
      </c>
      <c r="AS85" s="27">
        <v>784459.45000000007</v>
      </c>
      <c r="AT85" s="25">
        <v>241406.55</v>
      </c>
      <c r="AU85" s="25">
        <f t="shared" si="34"/>
        <v>1025866</v>
      </c>
      <c r="AV85" s="25">
        <f t="shared" si="35"/>
        <v>1025866</v>
      </c>
      <c r="AW85" s="25">
        <v>0</v>
      </c>
      <c r="AX85" s="25">
        <v>0</v>
      </c>
      <c r="AY85" s="25">
        <v>0</v>
      </c>
      <c r="AZ85" s="25">
        <v>784459.45</v>
      </c>
      <c r="BA85" s="25">
        <v>54309.55</v>
      </c>
      <c r="BB85" s="25">
        <f t="shared" si="36"/>
        <v>838769</v>
      </c>
      <c r="BC85" s="25">
        <f t="shared" si="37"/>
        <v>838769</v>
      </c>
      <c r="BD85" s="25">
        <v>0</v>
      </c>
      <c r="BE85" s="25">
        <v>0</v>
      </c>
      <c r="BF85" s="25">
        <v>0</v>
      </c>
      <c r="BG85" s="25">
        <v>784459.45</v>
      </c>
      <c r="BH85" s="25">
        <f t="shared" si="38"/>
        <v>784459.45</v>
      </c>
      <c r="BI85" s="29">
        <v>0</v>
      </c>
      <c r="BJ85" s="29">
        <v>0</v>
      </c>
      <c r="BK85" s="29">
        <v>0</v>
      </c>
      <c r="BL85" s="29">
        <v>784459.45</v>
      </c>
      <c r="BM85" s="29">
        <f t="shared" si="39"/>
        <v>784459.45</v>
      </c>
      <c r="BN85" s="30">
        <f t="shared" si="40"/>
        <v>7421635.75</v>
      </c>
    </row>
    <row r="86" spans="1:66">
      <c r="A86" s="19">
        <v>88</v>
      </c>
      <c r="B86" s="19" t="s">
        <v>307</v>
      </c>
      <c r="C86" s="19" t="s">
        <v>308</v>
      </c>
      <c r="D86" s="31" t="s">
        <v>309</v>
      </c>
      <c r="E86" s="21">
        <v>39932735</v>
      </c>
      <c r="F86" s="22">
        <v>61953.1</v>
      </c>
      <c r="G86" s="23">
        <v>0</v>
      </c>
      <c r="H86" s="23">
        <v>0</v>
      </c>
      <c r="I86" s="23">
        <v>0</v>
      </c>
      <c r="J86" s="23">
        <v>323227.7</v>
      </c>
      <c r="K86" s="24">
        <v>190837.3</v>
      </c>
      <c r="L86" s="24">
        <f t="shared" si="24"/>
        <v>514065</v>
      </c>
      <c r="M86" s="24">
        <f t="shared" si="25"/>
        <v>514065</v>
      </c>
      <c r="N86" s="24">
        <f t="shared" si="26"/>
        <v>514065</v>
      </c>
      <c r="O86" s="23">
        <f>81232.41-61284.73</f>
        <v>19947.68</v>
      </c>
      <c r="P86" s="23">
        <v>0</v>
      </c>
      <c r="Q86" s="23">
        <v>0</v>
      </c>
      <c r="R86" s="23">
        <v>323227.7</v>
      </c>
      <c r="S86" s="23">
        <v>198826.3</v>
      </c>
      <c r="T86" s="23">
        <f t="shared" si="27"/>
        <v>522054</v>
      </c>
      <c r="U86" s="23">
        <f t="shared" si="28"/>
        <v>542001.67999999993</v>
      </c>
      <c r="V86" s="16">
        <f>81232.41-22556.78</f>
        <v>58675.630000000005</v>
      </c>
      <c r="W86" s="16">
        <v>0</v>
      </c>
      <c r="X86" s="16">
        <v>0</v>
      </c>
      <c r="Y86" s="16">
        <f>323227.7+83841.51</f>
        <v>407069.21</v>
      </c>
      <c r="Z86" s="16">
        <f t="shared" si="29"/>
        <v>504577</v>
      </c>
      <c r="AA86" s="25">
        <f>+V86+W86+X86+Y86</f>
        <v>465744.84</v>
      </c>
      <c r="AB86" s="25">
        <f t="shared" si="22"/>
        <v>78623.31</v>
      </c>
      <c r="AC86" s="32">
        <f t="shared" si="22"/>
        <v>0</v>
      </c>
      <c r="AD86" s="27">
        <f t="shared" si="22"/>
        <v>0</v>
      </c>
      <c r="AE86" s="25">
        <f t="shared" si="23"/>
        <v>1443188.2100000002</v>
      </c>
      <c r="AF86" s="25">
        <v>97507.79</v>
      </c>
      <c r="AG86" s="28">
        <f t="shared" si="30"/>
        <v>1540696.0000000002</v>
      </c>
      <c r="AH86" s="26">
        <f t="shared" si="31"/>
        <v>1619319.3100000003</v>
      </c>
      <c r="AI86" s="27">
        <v>81232.41</v>
      </c>
      <c r="AJ86" s="25">
        <v>0</v>
      </c>
      <c r="AK86" s="32">
        <v>0</v>
      </c>
      <c r="AL86" s="27">
        <v>323227.7</v>
      </c>
      <c r="AM86" s="25">
        <v>225013.3</v>
      </c>
      <c r="AN86" s="28">
        <f t="shared" si="32"/>
        <v>548241</v>
      </c>
      <c r="AO86" s="32">
        <f t="shared" si="33"/>
        <v>629473.40999999992</v>
      </c>
      <c r="AP86" s="27">
        <v>81232.41</v>
      </c>
      <c r="AQ86" s="25">
        <v>0</v>
      </c>
      <c r="AR86" s="32">
        <v>0</v>
      </c>
      <c r="AS86" s="27">
        <v>323227.7</v>
      </c>
      <c r="AT86" s="25">
        <v>265562.3</v>
      </c>
      <c r="AU86" s="25">
        <f t="shared" si="34"/>
        <v>588790</v>
      </c>
      <c r="AV86" s="25">
        <f t="shared" si="35"/>
        <v>670022.40999999992</v>
      </c>
      <c r="AW86" s="25">
        <v>81232.41</v>
      </c>
      <c r="AX86" s="25">
        <v>0</v>
      </c>
      <c r="AY86" s="25">
        <v>0</v>
      </c>
      <c r="AZ86" s="25">
        <v>323227.7</v>
      </c>
      <c r="BA86" s="25">
        <v>300324.3</v>
      </c>
      <c r="BB86" s="25">
        <f t="shared" si="36"/>
        <v>623552</v>
      </c>
      <c r="BC86" s="25">
        <f t="shared" si="37"/>
        <v>704784.40999999992</v>
      </c>
      <c r="BD86" s="25">
        <v>40121.69</v>
      </c>
      <c r="BE86" s="25">
        <v>0</v>
      </c>
      <c r="BF86" s="25">
        <v>0</v>
      </c>
      <c r="BG86" s="25">
        <v>323227.7</v>
      </c>
      <c r="BH86" s="25">
        <f t="shared" si="38"/>
        <v>363349.39</v>
      </c>
      <c r="BI86" s="29">
        <v>47353</v>
      </c>
      <c r="BJ86" s="29">
        <v>0</v>
      </c>
      <c r="BK86" s="29">
        <v>0</v>
      </c>
      <c r="BL86" s="29">
        <v>323227.7</v>
      </c>
      <c r="BM86" s="29">
        <f t="shared" si="39"/>
        <v>370580.7</v>
      </c>
      <c r="BN86" s="30">
        <f t="shared" si="40"/>
        <v>4419482.7299999995</v>
      </c>
    </row>
    <row r="87" spans="1:66">
      <c r="A87" s="19">
        <v>85</v>
      </c>
      <c r="B87" s="19" t="s">
        <v>310</v>
      </c>
      <c r="C87" s="19" t="s">
        <v>311</v>
      </c>
      <c r="D87" s="31" t="s">
        <v>312</v>
      </c>
      <c r="E87" s="21">
        <v>39618148</v>
      </c>
      <c r="F87" s="22">
        <v>184973.77</v>
      </c>
      <c r="G87" s="23">
        <v>0</v>
      </c>
      <c r="H87" s="23">
        <v>0</v>
      </c>
      <c r="I87" s="23">
        <v>0</v>
      </c>
      <c r="J87" s="23">
        <v>55928.53</v>
      </c>
      <c r="K87" s="24">
        <v>135157.47</v>
      </c>
      <c r="L87" s="24">
        <f t="shared" si="24"/>
        <v>191086</v>
      </c>
      <c r="M87" s="24">
        <f t="shared" si="25"/>
        <v>191086</v>
      </c>
      <c r="N87" s="24">
        <f t="shared" si="26"/>
        <v>191086</v>
      </c>
      <c r="O87" s="23">
        <v>0</v>
      </c>
      <c r="P87" s="23">
        <v>0</v>
      </c>
      <c r="Q87" s="23">
        <v>0</v>
      </c>
      <c r="R87" s="23">
        <v>55928.53</v>
      </c>
      <c r="S87" s="23">
        <v>160423.47</v>
      </c>
      <c r="T87" s="23">
        <f t="shared" si="27"/>
        <v>216352</v>
      </c>
      <c r="U87" s="23">
        <f t="shared" si="28"/>
        <v>216352</v>
      </c>
      <c r="V87" s="16">
        <v>0</v>
      </c>
      <c r="W87" s="16">
        <v>0</v>
      </c>
      <c r="X87" s="16">
        <v>0</v>
      </c>
      <c r="Y87" s="16">
        <v>55928.53</v>
      </c>
      <c r="Z87" s="16">
        <f t="shared" si="29"/>
        <v>263892</v>
      </c>
      <c r="AA87" s="25">
        <f t="shared" si="21"/>
        <v>55928.53</v>
      </c>
      <c r="AB87" s="25">
        <f t="shared" si="22"/>
        <v>0</v>
      </c>
      <c r="AC87" s="32">
        <f t="shared" si="22"/>
        <v>0</v>
      </c>
      <c r="AD87" s="27">
        <f t="shared" si="22"/>
        <v>0</v>
      </c>
      <c r="AE87" s="25">
        <f t="shared" si="23"/>
        <v>463366.53</v>
      </c>
      <c r="AF87" s="25">
        <v>207963.47</v>
      </c>
      <c r="AG87" s="28">
        <f t="shared" si="30"/>
        <v>671330</v>
      </c>
      <c r="AH87" s="26">
        <f t="shared" si="31"/>
        <v>671330</v>
      </c>
      <c r="AI87" s="27">
        <v>0</v>
      </c>
      <c r="AJ87" s="25">
        <v>0</v>
      </c>
      <c r="AK87" s="32">
        <v>0</v>
      </c>
      <c r="AL87" s="27">
        <v>55928.53</v>
      </c>
      <c r="AM87" s="25">
        <v>334579.46999999997</v>
      </c>
      <c r="AN87" s="28">
        <f t="shared" si="32"/>
        <v>390508</v>
      </c>
      <c r="AO87" s="32">
        <f t="shared" si="33"/>
        <v>390508</v>
      </c>
      <c r="AP87" s="27">
        <v>0</v>
      </c>
      <c r="AQ87" s="25">
        <v>0</v>
      </c>
      <c r="AR87" s="32">
        <v>0</v>
      </c>
      <c r="AS87" s="27">
        <v>55928.53</v>
      </c>
      <c r="AT87" s="25">
        <v>303009.46999999997</v>
      </c>
      <c r="AU87" s="25">
        <f t="shared" si="34"/>
        <v>358938</v>
      </c>
      <c r="AV87" s="25">
        <f t="shared" si="35"/>
        <v>358938</v>
      </c>
      <c r="AW87" s="25">
        <v>0</v>
      </c>
      <c r="AX87" s="25">
        <v>0</v>
      </c>
      <c r="AY87" s="25">
        <v>0</v>
      </c>
      <c r="AZ87" s="25">
        <v>55928.53</v>
      </c>
      <c r="BA87" s="25">
        <v>366710.47</v>
      </c>
      <c r="BB87" s="25">
        <f t="shared" si="36"/>
        <v>422639</v>
      </c>
      <c r="BC87" s="25">
        <f t="shared" si="37"/>
        <v>422639</v>
      </c>
      <c r="BD87" s="25">
        <v>0</v>
      </c>
      <c r="BE87" s="25">
        <v>0</v>
      </c>
      <c r="BF87" s="25">
        <v>0</v>
      </c>
      <c r="BG87" s="25">
        <v>55928.53</v>
      </c>
      <c r="BH87" s="25">
        <f t="shared" si="38"/>
        <v>55928.53</v>
      </c>
      <c r="BI87" s="29">
        <v>0</v>
      </c>
      <c r="BJ87" s="29">
        <v>0</v>
      </c>
      <c r="BK87" s="29">
        <v>0</v>
      </c>
      <c r="BL87" s="29">
        <v>55928.53</v>
      </c>
      <c r="BM87" s="29">
        <f t="shared" si="39"/>
        <v>55928.53</v>
      </c>
      <c r="BN87" s="30">
        <f t="shared" si="40"/>
        <v>2140245.83</v>
      </c>
    </row>
    <row r="88" spans="1:66">
      <c r="A88" s="19">
        <v>86</v>
      </c>
      <c r="B88" s="19" t="s">
        <v>313</v>
      </c>
      <c r="C88" s="19" t="s">
        <v>314</v>
      </c>
      <c r="D88" s="31" t="s">
        <v>315</v>
      </c>
      <c r="E88" s="21">
        <v>44182940</v>
      </c>
      <c r="F88" s="22">
        <v>12719.52</v>
      </c>
      <c r="G88" s="23">
        <v>0</v>
      </c>
      <c r="H88" s="23">
        <v>0</v>
      </c>
      <c r="I88" s="23">
        <v>0</v>
      </c>
      <c r="J88" s="23">
        <v>161218.13</v>
      </c>
      <c r="K88" s="24">
        <v>0</v>
      </c>
      <c r="L88" s="24">
        <f t="shared" si="24"/>
        <v>161218.13</v>
      </c>
      <c r="M88" s="24">
        <f t="shared" si="25"/>
        <v>161218.13</v>
      </c>
      <c r="N88" s="24">
        <f t="shared" si="26"/>
        <v>161218.13</v>
      </c>
      <c r="O88" s="23">
        <v>0</v>
      </c>
      <c r="P88" s="23">
        <v>0</v>
      </c>
      <c r="Q88" s="23">
        <v>0</v>
      </c>
      <c r="R88" s="23">
        <v>152965.67000000001</v>
      </c>
      <c r="S88" s="23">
        <v>0</v>
      </c>
      <c r="T88" s="23">
        <f t="shared" si="27"/>
        <v>152965.67000000001</v>
      </c>
      <c r="U88" s="23">
        <f t="shared" si="28"/>
        <v>152965.67000000001</v>
      </c>
      <c r="V88" s="16">
        <v>0</v>
      </c>
      <c r="W88" s="16">
        <v>0</v>
      </c>
      <c r="X88" s="16">
        <v>0</v>
      </c>
      <c r="Y88" s="16">
        <v>152965.67000000001</v>
      </c>
      <c r="Z88" s="16">
        <f t="shared" si="29"/>
        <v>168594.21000000002</v>
      </c>
      <c r="AA88" s="25">
        <f t="shared" si="21"/>
        <v>152965.67000000001</v>
      </c>
      <c r="AB88" s="25">
        <f t="shared" si="22"/>
        <v>0</v>
      </c>
      <c r="AC88" s="32">
        <f t="shared" si="22"/>
        <v>0</v>
      </c>
      <c r="AD88" s="27">
        <f t="shared" si="22"/>
        <v>0</v>
      </c>
      <c r="AE88" s="25">
        <f t="shared" si="23"/>
        <v>467149.47000000009</v>
      </c>
      <c r="AF88" s="25">
        <v>15628.54</v>
      </c>
      <c r="AG88" s="28">
        <f t="shared" si="30"/>
        <v>482778.01000000007</v>
      </c>
      <c r="AH88" s="26">
        <f t="shared" si="31"/>
        <v>482778.01000000007</v>
      </c>
      <c r="AI88" s="27">
        <v>0</v>
      </c>
      <c r="AJ88" s="25">
        <v>0</v>
      </c>
      <c r="AK88" s="32">
        <v>0</v>
      </c>
      <c r="AL88" s="27">
        <v>152965.67000000001</v>
      </c>
      <c r="AM88" s="25">
        <v>41412.33</v>
      </c>
      <c r="AN88" s="28">
        <f t="shared" si="32"/>
        <v>194378</v>
      </c>
      <c r="AO88" s="32">
        <f t="shared" si="33"/>
        <v>194378</v>
      </c>
      <c r="AP88" s="27">
        <v>0</v>
      </c>
      <c r="AQ88" s="25">
        <v>0</v>
      </c>
      <c r="AR88" s="32">
        <v>0</v>
      </c>
      <c r="AS88" s="27">
        <v>152965.67000000001</v>
      </c>
      <c r="AT88" s="25">
        <v>12691.33</v>
      </c>
      <c r="AU88" s="25">
        <f t="shared" si="34"/>
        <v>165657</v>
      </c>
      <c r="AV88" s="25">
        <f t="shared" si="35"/>
        <v>165657</v>
      </c>
      <c r="AW88" s="25">
        <v>0</v>
      </c>
      <c r="AX88" s="25">
        <v>0</v>
      </c>
      <c r="AY88" s="25">
        <v>0</v>
      </c>
      <c r="AZ88" s="25">
        <v>161218.13</v>
      </c>
      <c r="BA88" s="25">
        <v>0</v>
      </c>
      <c r="BB88" s="25">
        <f t="shared" si="36"/>
        <v>161218.13</v>
      </c>
      <c r="BC88" s="25">
        <f t="shared" si="37"/>
        <v>161218.13</v>
      </c>
      <c r="BD88" s="25">
        <v>0</v>
      </c>
      <c r="BE88" s="25">
        <v>0</v>
      </c>
      <c r="BF88" s="25">
        <v>0</v>
      </c>
      <c r="BG88" s="25">
        <v>161218.13</v>
      </c>
      <c r="BH88" s="25">
        <f t="shared" si="38"/>
        <v>161218.13</v>
      </c>
      <c r="BI88" s="29">
        <v>0</v>
      </c>
      <c r="BJ88" s="29">
        <v>0</v>
      </c>
      <c r="BK88" s="29">
        <v>0</v>
      </c>
      <c r="BL88" s="29">
        <v>161218.13</v>
      </c>
      <c r="BM88" s="29">
        <f t="shared" si="39"/>
        <v>161218.13</v>
      </c>
      <c r="BN88" s="30">
        <f t="shared" si="40"/>
        <v>1339186.92</v>
      </c>
    </row>
    <row r="89" spans="1:66">
      <c r="A89" s="19">
        <v>83</v>
      </c>
      <c r="B89" s="57" t="s">
        <v>316</v>
      </c>
      <c r="C89" s="33" t="s">
        <v>317</v>
      </c>
      <c r="D89" s="31" t="s">
        <v>318</v>
      </c>
      <c r="E89" s="21">
        <v>35200141</v>
      </c>
      <c r="F89" s="22">
        <v>45308.17</v>
      </c>
      <c r="G89" s="23">
        <v>0</v>
      </c>
      <c r="H89" s="23">
        <v>0</v>
      </c>
      <c r="I89" s="23">
        <v>0</v>
      </c>
      <c r="J89" s="23">
        <v>78953</v>
      </c>
      <c r="K89" s="24">
        <v>12862</v>
      </c>
      <c r="L89" s="24">
        <f t="shared" si="24"/>
        <v>91815</v>
      </c>
      <c r="M89" s="24">
        <f t="shared" si="25"/>
        <v>91815</v>
      </c>
      <c r="N89" s="24">
        <f t="shared" si="26"/>
        <v>91815</v>
      </c>
      <c r="O89" s="23">
        <v>0</v>
      </c>
      <c r="P89" s="23">
        <v>0</v>
      </c>
      <c r="Q89" s="23">
        <v>0</v>
      </c>
      <c r="R89" s="23">
        <v>76776.333333333328</v>
      </c>
      <c r="S89" s="23">
        <v>38211.67</v>
      </c>
      <c r="T89" s="23">
        <f t="shared" si="27"/>
        <v>114988.00333333333</v>
      </c>
      <c r="U89" s="23">
        <f t="shared" si="28"/>
        <v>114988.00333333333</v>
      </c>
      <c r="V89" s="16">
        <v>0</v>
      </c>
      <c r="W89" s="16">
        <v>0</v>
      </c>
      <c r="X89" s="16">
        <v>0</v>
      </c>
      <c r="Y89" s="16">
        <v>91815</v>
      </c>
      <c r="Z89" s="16">
        <f t="shared" si="29"/>
        <v>143131</v>
      </c>
      <c r="AA89" s="25">
        <f t="shared" si="21"/>
        <v>91815</v>
      </c>
      <c r="AB89" s="25">
        <f t="shared" si="22"/>
        <v>0</v>
      </c>
      <c r="AC89" s="32">
        <f t="shared" si="22"/>
        <v>0</v>
      </c>
      <c r="AD89" s="27">
        <f t="shared" si="22"/>
        <v>0</v>
      </c>
      <c r="AE89" s="25">
        <f t="shared" si="23"/>
        <v>298618.0033333333</v>
      </c>
      <c r="AF89" s="25">
        <v>51316</v>
      </c>
      <c r="AG89" s="28">
        <f t="shared" si="30"/>
        <v>349934.0033333333</v>
      </c>
      <c r="AH89" s="26">
        <f t="shared" si="31"/>
        <v>349934.0033333333</v>
      </c>
      <c r="AI89" s="27">
        <v>0</v>
      </c>
      <c r="AJ89" s="25">
        <v>0</v>
      </c>
      <c r="AK89" s="32">
        <v>0</v>
      </c>
      <c r="AL89" s="27">
        <v>101963.93</v>
      </c>
      <c r="AM89" s="25">
        <v>48767.07</v>
      </c>
      <c r="AN89" s="28">
        <f t="shared" si="32"/>
        <v>150731</v>
      </c>
      <c r="AO89" s="32">
        <f t="shared" si="33"/>
        <v>150731</v>
      </c>
      <c r="AP89" s="27">
        <v>0</v>
      </c>
      <c r="AQ89" s="25">
        <v>0</v>
      </c>
      <c r="AR89" s="32">
        <v>0</v>
      </c>
      <c r="AS89" s="27">
        <v>101963.93</v>
      </c>
      <c r="AT89" s="25">
        <v>27623.07</v>
      </c>
      <c r="AU89" s="25">
        <f t="shared" si="34"/>
        <v>129587</v>
      </c>
      <c r="AV89" s="25">
        <f t="shared" si="35"/>
        <v>129587</v>
      </c>
      <c r="AW89" s="25">
        <v>0</v>
      </c>
      <c r="AX89" s="25">
        <v>0</v>
      </c>
      <c r="AY89" s="25">
        <v>0</v>
      </c>
      <c r="AZ89" s="25">
        <v>101963.93</v>
      </c>
      <c r="BA89" s="25">
        <v>27369.07</v>
      </c>
      <c r="BB89" s="25">
        <f t="shared" si="36"/>
        <v>129333</v>
      </c>
      <c r="BC89" s="25">
        <f t="shared" si="37"/>
        <v>129333</v>
      </c>
      <c r="BD89" s="25">
        <v>0</v>
      </c>
      <c r="BE89" s="25">
        <v>0</v>
      </c>
      <c r="BF89" s="25">
        <v>0</v>
      </c>
      <c r="BG89" s="25">
        <v>101963.93</v>
      </c>
      <c r="BH89" s="25">
        <f t="shared" si="38"/>
        <v>101963.93</v>
      </c>
      <c r="BI89" s="29">
        <v>0</v>
      </c>
      <c r="BJ89" s="29">
        <v>0</v>
      </c>
      <c r="BK89" s="29">
        <v>0</v>
      </c>
      <c r="BL89" s="29">
        <v>101963.93</v>
      </c>
      <c r="BM89" s="29">
        <f t="shared" si="39"/>
        <v>101963.93</v>
      </c>
      <c r="BN89" s="30">
        <f t="shared" si="40"/>
        <v>1008821.0333333332</v>
      </c>
    </row>
    <row r="90" spans="1:66">
      <c r="A90" s="19">
        <v>84</v>
      </c>
      <c r="B90" s="48" t="s">
        <v>319</v>
      </c>
      <c r="C90" s="48" t="s">
        <v>320</v>
      </c>
      <c r="D90" s="58" t="s">
        <v>321</v>
      </c>
      <c r="E90" s="21">
        <v>41412378</v>
      </c>
      <c r="F90" s="22">
        <v>0</v>
      </c>
      <c r="G90" s="23">
        <v>0</v>
      </c>
      <c r="H90" s="23">
        <v>108578.14</v>
      </c>
      <c r="I90" s="23">
        <v>65973.600000000006</v>
      </c>
      <c r="J90" s="23">
        <v>569.5</v>
      </c>
      <c r="K90" s="24">
        <v>2787.5</v>
      </c>
      <c r="L90" s="24">
        <f t="shared" si="24"/>
        <v>3357</v>
      </c>
      <c r="M90" s="24">
        <f t="shared" si="25"/>
        <v>3357</v>
      </c>
      <c r="N90" s="24">
        <f t="shared" si="26"/>
        <v>177908.74</v>
      </c>
      <c r="O90" s="23">
        <v>0</v>
      </c>
      <c r="P90" s="23">
        <v>110722.07</v>
      </c>
      <c r="Q90" s="23">
        <v>70764.539999999994</v>
      </c>
      <c r="R90" s="23">
        <v>1008.6666666666666</v>
      </c>
      <c r="S90" s="23">
        <v>0</v>
      </c>
      <c r="T90" s="23">
        <f t="shared" si="27"/>
        <v>1008.6666666666666</v>
      </c>
      <c r="U90" s="23">
        <f t="shared" si="28"/>
        <v>182495.27666666664</v>
      </c>
      <c r="V90" s="16">
        <v>0</v>
      </c>
      <c r="W90" s="16">
        <v>110722.07</v>
      </c>
      <c r="X90" s="16">
        <v>97782.3</v>
      </c>
      <c r="Y90" s="16">
        <v>3357</v>
      </c>
      <c r="Z90" s="16">
        <f t="shared" si="29"/>
        <v>3357</v>
      </c>
      <c r="AA90" s="25">
        <f t="shared" si="21"/>
        <v>211861.37</v>
      </c>
      <c r="AB90" s="25">
        <f t="shared" si="22"/>
        <v>0</v>
      </c>
      <c r="AC90" s="32">
        <f t="shared" si="22"/>
        <v>330022.28000000003</v>
      </c>
      <c r="AD90" s="27">
        <f t="shared" si="22"/>
        <v>234520.44</v>
      </c>
      <c r="AE90" s="25">
        <f t="shared" si="23"/>
        <v>7722.6666666666661</v>
      </c>
      <c r="AF90" s="25">
        <v>0</v>
      </c>
      <c r="AG90" s="28">
        <f t="shared" si="30"/>
        <v>7722.6666666666661</v>
      </c>
      <c r="AH90" s="26">
        <f t="shared" si="31"/>
        <v>572265.3866666666</v>
      </c>
      <c r="AI90" s="27">
        <v>0</v>
      </c>
      <c r="AJ90" s="25">
        <v>110722.07</v>
      </c>
      <c r="AK90" s="32">
        <v>108031.77</v>
      </c>
      <c r="AL90" s="27">
        <v>3357</v>
      </c>
      <c r="AM90" s="25">
        <v>0</v>
      </c>
      <c r="AN90" s="28">
        <f t="shared" si="32"/>
        <v>3357</v>
      </c>
      <c r="AO90" s="32">
        <f t="shared" si="33"/>
        <v>222110.84000000003</v>
      </c>
      <c r="AP90" s="27">
        <v>0</v>
      </c>
      <c r="AQ90" s="25">
        <v>110722.07</v>
      </c>
      <c r="AR90" s="32">
        <v>118281.24</v>
      </c>
      <c r="AS90" s="27">
        <v>3357</v>
      </c>
      <c r="AT90" s="25">
        <v>0</v>
      </c>
      <c r="AU90" s="25">
        <f t="shared" si="34"/>
        <v>3357</v>
      </c>
      <c r="AV90" s="25">
        <f t="shared" si="35"/>
        <v>232360.31</v>
      </c>
      <c r="AW90" s="25">
        <v>0</v>
      </c>
      <c r="AX90" s="25">
        <v>110722.07</v>
      </c>
      <c r="AY90" s="25">
        <v>118281.24</v>
      </c>
      <c r="AZ90" s="25">
        <v>3357</v>
      </c>
      <c r="BA90" s="25">
        <v>0</v>
      </c>
      <c r="BB90" s="25">
        <f t="shared" si="36"/>
        <v>3357</v>
      </c>
      <c r="BC90" s="25">
        <f t="shared" si="37"/>
        <v>232360.31</v>
      </c>
      <c r="BD90" s="25">
        <v>0</v>
      </c>
      <c r="BE90" s="25">
        <v>94322.16</v>
      </c>
      <c r="BF90" s="25">
        <v>136954.15</v>
      </c>
      <c r="BG90" s="25">
        <v>895.2</v>
      </c>
      <c r="BH90" s="25">
        <f t="shared" si="38"/>
        <v>232171.51</v>
      </c>
      <c r="BI90" s="29">
        <v>0</v>
      </c>
      <c r="BJ90" s="29">
        <v>99617.16</v>
      </c>
      <c r="BK90" s="29">
        <v>126105.81</v>
      </c>
      <c r="BL90" s="29">
        <v>746</v>
      </c>
      <c r="BM90" s="29">
        <f t="shared" si="39"/>
        <v>226468.97</v>
      </c>
      <c r="BN90" s="30">
        <f t="shared" si="40"/>
        <v>1717737.3266666667</v>
      </c>
    </row>
    <row r="91" spans="1:66">
      <c r="A91" s="19">
        <v>87</v>
      </c>
      <c r="B91" s="19" t="s">
        <v>322</v>
      </c>
      <c r="C91" s="19" t="s">
        <v>323</v>
      </c>
      <c r="D91" s="31" t="s">
        <v>324</v>
      </c>
      <c r="E91" s="21">
        <v>36965967</v>
      </c>
      <c r="F91" s="22">
        <v>0</v>
      </c>
      <c r="G91" s="23">
        <v>0</v>
      </c>
      <c r="H91" s="23">
        <v>0</v>
      </c>
      <c r="I91" s="23">
        <v>0</v>
      </c>
      <c r="J91" s="23">
        <v>74872.45</v>
      </c>
      <c r="K91" s="24">
        <v>4202.55</v>
      </c>
      <c r="L91" s="24">
        <f t="shared" si="24"/>
        <v>79075</v>
      </c>
      <c r="M91" s="24">
        <f t="shared" si="25"/>
        <v>79075</v>
      </c>
      <c r="N91" s="24">
        <f t="shared" si="26"/>
        <v>79075</v>
      </c>
      <c r="O91" s="23">
        <v>0</v>
      </c>
      <c r="P91" s="23">
        <v>0</v>
      </c>
      <c r="Q91" s="23">
        <v>0</v>
      </c>
      <c r="R91" s="23">
        <v>74872.45</v>
      </c>
      <c r="S91" s="23">
        <v>0</v>
      </c>
      <c r="T91" s="23">
        <f t="shared" si="27"/>
        <v>74872.45</v>
      </c>
      <c r="U91" s="23">
        <f t="shared" si="28"/>
        <v>74872.45</v>
      </c>
      <c r="V91" s="16">
        <v>0</v>
      </c>
      <c r="W91" s="16">
        <v>0</v>
      </c>
      <c r="X91" s="16">
        <v>0</v>
      </c>
      <c r="Y91" s="16">
        <v>74872.45</v>
      </c>
      <c r="Z91" s="16">
        <f t="shared" si="29"/>
        <v>74872.45</v>
      </c>
      <c r="AA91" s="25">
        <f t="shared" si="21"/>
        <v>74872.45</v>
      </c>
      <c r="AB91" s="25">
        <f t="shared" si="22"/>
        <v>0</v>
      </c>
      <c r="AC91" s="32">
        <f t="shared" si="22"/>
        <v>0</v>
      </c>
      <c r="AD91" s="27">
        <f t="shared" si="22"/>
        <v>0</v>
      </c>
      <c r="AE91" s="25">
        <f t="shared" si="23"/>
        <v>228819.89999999997</v>
      </c>
      <c r="AF91" s="25">
        <v>0</v>
      </c>
      <c r="AG91" s="28">
        <f t="shared" si="30"/>
        <v>228819.89999999997</v>
      </c>
      <c r="AH91" s="26">
        <f t="shared" si="31"/>
        <v>228819.89999999997</v>
      </c>
      <c r="AI91" s="27">
        <v>0</v>
      </c>
      <c r="AJ91" s="25">
        <v>0</v>
      </c>
      <c r="AK91" s="32">
        <v>0</v>
      </c>
      <c r="AL91" s="27">
        <v>74872.45</v>
      </c>
      <c r="AM91" s="25">
        <v>16105.55</v>
      </c>
      <c r="AN91" s="28">
        <f t="shared" si="32"/>
        <v>90978</v>
      </c>
      <c r="AO91" s="32">
        <f t="shared" si="33"/>
        <v>90978</v>
      </c>
      <c r="AP91" s="27">
        <v>0</v>
      </c>
      <c r="AQ91" s="25">
        <v>0</v>
      </c>
      <c r="AR91" s="32">
        <v>0</v>
      </c>
      <c r="AS91" s="27">
        <v>74872.45</v>
      </c>
      <c r="AT91" s="25">
        <v>1721.55</v>
      </c>
      <c r="AU91" s="25">
        <f t="shared" si="34"/>
        <v>76594</v>
      </c>
      <c r="AV91" s="25">
        <f t="shared" si="35"/>
        <v>76594</v>
      </c>
      <c r="AW91" s="25">
        <v>0</v>
      </c>
      <c r="AX91" s="25">
        <v>0</v>
      </c>
      <c r="AY91" s="25">
        <v>0</v>
      </c>
      <c r="AZ91" s="25">
        <v>74872.45</v>
      </c>
      <c r="BA91" s="25">
        <v>0</v>
      </c>
      <c r="BB91" s="25">
        <f t="shared" si="36"/>
        <v>74872.45</v>
      </c>
      <c r="BC91" s="25">
        <f t="shared" si="37"/>
        <v>74872.45</v>
      </c>
      <c r="BD91" s="25">
        <v>0</v>
      </c>
      <c r="BE91" s="25">
        <v>0</v>
      </c>
      <c r="BF91" s="25">
        <v>0</v>
      </c>
      <c r="BG91" s="25">
        <v>74872.45</v>
      </c>
      <c r="BH91" s="25">
        <f t="shared" si="38"/>
        <v>74872.45</v>
      </c>
      <c r="BI91" s="29">
        <v>0</v>
      </c>
      <c r="BJ91" s="29">
        <v>0</v>
      </c>
      <c r="BK91" s="29">
        <v>0</v>
      </c>
      <c r="BL91" s="29">
        <v>74872.45</v>
      </c>
      <c r="BM91" s="29">
        <f t="shared" si="39"/>
        <v>74872.45</v>
      </c>
      <c r="BN91" s="30">
        <f t="shared" si="40"/>
        <v>621009.25</v>
      </c>
    </row>
    <row r="92" spans="1:66" s="6" customFormat="1">
      <c r="A92" s="19">
        <v>89</v>
      </c>
      <c r="B92" s="19" t="s">
        <v>325</v>
      </c>
      <c r="C92" s="19" t="s">
        <v>326</v>
      </c>
      <c r="D92" s="31" t="s">
        <v>327</v>
      </c>
      <c r="E92" s="21">
        <v>16140205</v>
      </c>
      <c r="F92" s="22">
        <v>0</v>
      </c>
      <c r="G92" s="23">
        <v>37107</v>
      </c>
      <c r="H92" s="23">
        <v>0</v>
      </c>
      <c r="I92" s="23">
        <v>0</v>
      </c>
      <c r="J92" s="23">
        <v>26435.5</v>
      </c>
      <c r="K92" s="24">
        <v>0</v>
      </c>
      <c r="L92" s="24">
        <f t="shared" si="24"/>
        <v>26435.5</v>
      </c>
      <c r="M92" s="24">
        <f t="shared" si="25"/>
        <v>26435.5</v>
      </c>
      <c r="N92" s="24">
        <f t="shared" si="26"/>
        <v>63542.5</v>
      </c>
      <c r="O92" s="23">
        <v>32116</v>
      </c>
      <c r="P92" s="23">
        <v>0</v>
      </c>
      <c r="Q92" s="23">
        <v>0</v>
      </c>
      <c r="R92" s="23">
        <v>22324.333333333332</v>
      </c>
      <c r="S92" s="23">
        <v>20773.669999999998</v>
      </c>
      <c r="T92" s="23">
        <f t="shared" si="27"/>
        <v>43098.003333333327</v>
      </c>
      <c r="U92" s="23">
        <f t="shared" si="28"/>
        <v>75214.003333333327</v>
      </c>
      <c r="V92" s="17">
        <v>32116</v>
      </c>
      <c r="W92" s="17">
        <v>0</v>
      </c>
      <c r="X92" s="17">
        <v>0</v>
      </c>
      <c r="Y92" s="17">
        <v>22324.33</v>
      </c>
      <c r="Z92" s="16">
        <f t="shared" si="29"/>
        <v>23211.5</v>
      </c>
      <c r="AA92" s="25">
        <f t="shared" si="21"/>
        <v>54440.33</v>
      </c>
      <c r="AB92" s="25">
        <f t="shared" si="22"/>
        <v>101339</v>
      </c>
      <c r="AC92" s="32">
        <f t="shared" si="22"/>
        <v>0</v>
      </c>
      <c r="AD92" s="27">
        <f t="shared" si="22"/>
        <v>0</v>
      </c>
      <c r="AE92" s="25">
        <f t="shared" si="23"/>
        <v>91857.833333333328</v>
      </c>
      <c r="AF92" s="25">
        <v>887.17</v>
      </c>
      <c r="AG92" s="28">
        <f t="shared" si="30"/>
        <v>92745.003333333327</v>
      </c>
      <c r="AH92" s="26">
        <f t="shared" si="31"/>
        <v>194084.00333333333</v>
      </c>
      <c r="AI92" s="27">
        <v>40362</v>
      </c>
      <c r="AJ92" s="25">
        <v>0</v>
      </c>
      <c r="AK92" s="32">
        <v>0</v>
      </c>
      <c r="AL92" s="27">
        <v>31982.5</v>
      </c>
      <c r="AM92" s="25">
        <v>12527.5</v>
      </c>
      <c r="AN92" s="28">
        <f t="shared" si="32"/>
        <v>44510</v>
      </c>
      <c r="AO92" s="32">
        <f t="shared" si="33"/>
        <v>84872</v>
      </c>
      <c r="AP92" s="27">
        <v>45213.34</v>
      </c>
      <c r="AQ92" s="25">
        <v>0</v>
      </c>
      <c r="AR92" s="32">
        <v>0</v>
      </c>
      <c r="AS92" s="27">
        <v>43098</v>
      </c>
      <c r="AT92" s="25">
        <v>0</v>
      </c>
      <c r="AU92" s="25">
        <f t="shared" si="34"/>
        <v>43098</v>
      </c>
      <c r="AV92" s="25">
        <f t="shared" si="35"/>
        <v>88311.34</v>
      </c>
      <c r="AW92" s="25">
        <v>45213.34</v>
      </c>
      <c r="AX92" s="25">
        <v>0</v>
      </c>
      <c r="AY92" s="25">
        <v>0</v>
      </c>
      <c r="AZ92" s="25">
        <v>44510</v>
      </c>
      <c r="BA92" s="25">
        <v>0</v>
      </c>
      <c r="BB92" s="25">
        <f t="shared" si="36"/>
        <v>44510</v>
      </c>
      <c r="BC92" s="25">
        <f t="shared" si="37"/>
        <v>89723.34</v>
      </c>
      <c r="BD92" s="25">
        <v>37497.599999999999</v>
      </c>
      <c r="BE92" s="25">
        <v>0</v>
      </c>
      <c r="BF92" s="25">
        <v>0</v>
      </c>
      <c r="BG92" s="25">
        <v>33556.400000000001</v>
      </c>
      <c r="BH92" s="25">
        <f t="shared" si="38"/>
        <v>71054</v>
      </c>
      <c r="BI92" s="29">
        <v>36673</v>
      </c>
      <c r="BJ92" s="29">
        <v>0</v>
      </c>
      <c r="BK92" s="29">
        <v>0</v>
      </c>
      <c r="BL92" s="29">
        <v>33475.83</v>
      </c>
      <c r="BM92" s="29">
        <f t="shared" si="39"/>
        <v>70148.83</v>
      </c>
      <c r="BN92" s="30">
        <f t="shared" si="40"/>
        <v>598193.51333333319</v>
      </c>
    </row>
    <row r="93" spans="1:66">
      <c r="A93" s="19">
        <v>90</v>
      </c>
      <c r="B93" s="59" t="s">
        <v>328</v>
      </c>
      <c r="C93" s="19" t="s">
        <v>329</v>
      </c>
      <c r="D93" s="60" t="s">
        <v>330</v>
      </c>
      <c r="E93" s="61">
        <v>45190843</v>
      </c>
      <c r="F93" s="22">
        <v>0</v>
      </c>
      <c r="G93" s="23">
        <v>0</v>
      </c>
      <c r="H93" s="23">
        <v>0</v>
      </c>
      <c r="I93" s="23">
        <v>0</v>
      </c>
      <c r="J93" s="23">
        <v>12312</v>
      </c>
      <c r="K93" s="24">
        <v>12224</v>
      </c>
      <c r="L93" s="24">
        <f t="shared" si="24"/>
        <v>24536</v>
      </c>
      <c r="M93" s="24">
        <f t="shared" si="25"/>
        <v>24536</v>
      </c>
      <c r="N93" s="24">
        <f t="shared" si="26"/>
        <v>24536</v>
      </c>
      <c r="O93" s="23">
        <v>0</v>
      </c>
      <c r="P93" s="23">
        <v>0</v>
      </c>
      <c r="Q93" s="23">
        <v>0</v>
      </c>
      <c r="R93" s="23">
        <v>13284</v>
      </c>
      <c r="S93" s="23">
        <v>15228</v>
      </c>
      <c r="T93" s="23">
        <f t="shared" si="27"/>
        <v>28512</v>
      </c>
      <c r="U93" s="23">
        <f t="shared" si="28"/>
        <v>28512</v>
      </c>
      <c r="V93" s="16">
        <v>0</v>
      </c>
      <c r="W93" s="16">
        <v>0</v>
      </c>
      <c r="X93" s="16">
        <v>0</v>
      </c>
      <c r="Y93" s="16">
        <v>24536</v>
      </c>
      <c r="Z93" s="16">
        <f t="shared" si="29"/>
        <v>33228</v>
      </c>
      <c r="AA93" s="25">
        <f t="shared" si="21"/>
        <v>24536</v>
      </c>
      <c r="AB93" s="25">
        <f t="shared" si="22"/>
        <v>0</v>
      </c>
      <c r="AC93" s="62">
        <f t="shared" si="22"/>
        <v>0</v>
      </c>
      <c r="AD93" s="63">
        <f t="shared" si="22"/>
        <v>0</v>
      </c>
      <c r="AE93" s="25">
        <f t="shared" si="23"/>
        <v>77584</v>
      </c>
      <c r="AF93" s="25">
        <v>8692</v>
      </c>
      <c r="AG93" s="28">
        <f t="shared" si="30"/>
        <v>86276</v>
      </c>
      <c r="AH93" s="26">
        <f t="shared" si="31"/>
        <v>86276</v>
      </c>
      <c r="AI93" s="63">
        <v>0</v>
      </c>
      <c r="AJ93" s="25">
        <v>0</v>
      </c>
      <c r="AK93" s="62">
        <v>0</v>
      </c>
      <c r="AL93" s="63">
        <v>26524</v>
      </c>
      <c r="AM93" s="25">
        <v>11916</v>
      </c>
      <c r="AN93" s="28">
        <f t="shared" si="32"/>
        <v>38440</v>
      </c>
      <c r="AO93" s="62">
        <f t="shared" si="33"/>
        <v>38440</v>
      </c>
      <c r="AP93" s="63">
        <v>0</v>
      </c>
      <c r="AQ93" s="25">
        <v>0</v>
      </c>
      <c r="AR93" s="62">
        <v>0</v>
      </c>
      <c r="AS93" s="63">
        <v>28512</v>
      </c>
      <c r="AT93" s="25">
        <v>4892</v>
      </c>
      <c r="AU93" s="25">
        <f t="shared" si="34"/>
        <v>33404</v>
      </c>
      <c r="AV93" s="25">
        <f t="shared" si="35"/>
        <v>33404</v>
      </c>
      <c r="AW93" s="25">
        <v>0</v>
      </c>
      <c r="AX93" s="25">
        <v>0</v>
      </c>
      <c r="AY93" s="25">
        <v>0</v>
      </c>
      <c r="AZ93" s="25">
        <v>38440</v>
      </c>
      <c r="BA93" s="25">
        <v>0</v>
      </c>
      <c r="BB93" s="25">
        <f t="shared" si="36"/>
        <v>38440</v>
      </c>
      <c r="BC93" s="25">
        <f t="shared" si="37"/>
        <v>38440</v>
      </c>
      <c r="BD93" s="25">
        <v>0</v>
      </c>
      <c r="BE93" s="25">
        <v>0</v>
      </c>
      <c r="BF93" s="25">
        <v>0</v>
      </c>
      <c r="BG93" s="25">
        <v>31624</v>
      </c>
      <c r="BH93" s="25">
        <f t="shared" si="38"/>
        <v>31624</v>
      </c>
      <c r="BI93" s="29">
        <v>0</v>
      </c>
      <c r="BJ93" s="29">
        <v>0</v>
      </c>
      <c r="BK93" s="29">
        <v>0</v>
      </c>
      <c r="BL93" s="29">
        <v>32485.33</v>
      </c>
      <c r="BM93" s="29">
        <f t="shared" si="39"/>
        <v>32485.33</v>
      </c>
      <c r="BN93" s="30">
        <f t="shared" si="40"/>
        <v>260669.33000000002</v>
      </c>
    </row>
    <row r="94" spans="1:66" ht="14.25" customHeight="1">
      <c r="A94" s="19">
        <v>91</v>
      </c>
      <c r="B94" s="64" t="s">
        <v>331</v>
      </c>
      <c r="C94" s="64" t="s">
        <v>332</v>
      </c>
      <c r="D94" s="65" t="s">
        <v>333</v>
      </c>
      <c r="E94" s="61">
        <v>48907340</v>
      </c>
      <c r="F94" s="22">
        <v>0</v>
      </c>
      <c r="G94" s="23">
        <v>850953.13</v>
      </c>
      <c r="H94" s="23">
        <v>0</v>
      </c>
      <c r="I94" s="23">
        <v>0</v>
      </c>
      <c r="J94" s="23">
        <v>18834</v>
      </c>
      <c r="K94" s="24">
        <v>0</v>
      </c>
      <c r="L94" s="24">
        <f t="shared" si="24"/>
        <v>18834</v>
      </c>
      <c r="M94" s="24">
        <f t="shared" si="25"/>
        <v>18834</v>
      </c>
      <c r="N94" s="24">
        <f t="shared" si="26"/>
        <v>869787.13</v>
      </c>
      <c r="O94" s="23">
        <f>816925.33+484069.38</f>
        <v>1300994.71</v>
      </c>
      <c r="P94" s="23">
        <v>0</v>
      </c>
      <c r="Q94" s="23">
        <v>0</v>
      </c>
      <c r="R94" s="23">
        <v>20658.669999999998</v>
      </c>
      <c r="S94" s="23">
        <v>6031.33</v>
      </c>
      <c r="T94" s="23">
        <f t="shared" si="27"/>
        <v>26690</v>
      </c>
      <c r="U94" s="23">
        <f t="shared" si="28"/>
        <v>1327684.71</v>
      </c>
      <c r="V94" s="16">
        <f>1300994.71+138273.17</f>
        <v>1439267.88</v>
      </c>
      <c r="W94" s="16">
        <v>0</v>
      </c>
      <c r="X94" s="16">
        <v>0</v>
      </c>
      <c r="Y94" s="16">
        <v>20658.669999999998</v>
      </c>
      <c r="Z94" s="16">
        <f t="shared" si="29"/>
        <v>35789.009999999995</v>
      </c>
      <c r="AA94" s="66">
        <f>+V94+W94+X94+Y94</f>
        <v>1459926.5499999998</v>
      </c>
      <c r="AB94" s="66">
        <f t="shared" si="22"/>
        <v>3591215.7199999997</v>
      </c>
      <c r="AC94" s="67">
        <f t="shared" si="22"/>
        <v>0</v>
      </c>
      <c r="AD94" s="63">
        <f t="shared" si="22"/>
        <v>0</v>
      </c>
      <c r="AE94" s="66">
        <f t="shared" si="23"/>
        <v>66182.67</v>
      </c>
      <c r="AF94" s="66">
        <v>15130.34</v>
      </c>
      <c r="AG94" s="28">
        <f t="shared" si="30"/>
        <v>81313.009999999995</v>
      </c>
      <c r="AH94" s="26">
        <f t="shared" si="31"/>
        <v>3672528.7299999995</v>
      </c>
      <c r="AI94" s="63">
        <f>1370131.3+377690.88</f>
        <v>1747822.1800000002</v>
      </c>
      <c r="AJ94" s="66">
        <v>0</v>
      </c>
      <c r="AK94" s="67">
        <v>0</v>
      </c>
      <c r="AL94" s="63">
        <v>22247</v>
      </c>
      <c r="AM94" s="66">
        <v>17811</v>
      </c>
      <c r="AN94" s="28">
        <f t="shared" si="32"/>
        <v>40058</v>
      </c>
      <c r="AO94" s="67">
        <f t="shared" si="33"/>
        <v>1787880.1800000002</v>
      </c>
      <c r="AP94" s="63">
        <v>1439267.88</v>
      </c>
      <c r="AQ94" s="66">
        <v>0</v>
      </c>
      <c r="AR94" s="67">
        <v>0</v>
      </c>
      <c r="AS94" s="63">
        <v>26690</v>
      </c>
      <c r="AT94" s="25">
        <v>11276</v>
      </c>
      <c r="AU94" s="25">
        <f t="shared" si="34"/>
        <v>37966</v>
      </c>
      <c r="AV94" s="25">
        <f t="shared" si="35"/>
        <v>1477233.88</v>
      </c>
      <c r="AW94" s="25">
        <v>1636729.05</v>
      </c>
      <c r="AX94" s="25">
        <v>0</v>
      </c>
      <c r="AY94" s="25">
        <v>0</v>
      </c>
      <c r="AZ94" s="25">
        <v>40058</v>
      </c>
      <c r="BA94" s="25">
        <v>9932</v>
      </c>
      <c r="BB94" s="25">
        <f t="shared" si="36"/>
        <v>49990</v>
      </c>
      <c r="BC94" s="25">
        <f t="shared" si="37"/>
        <v>1686719.05</v>
      </c>
      <c r="BD94" s="25">
        <v>1518278.84</v>
      </c>
      <c r="BE94" s="25">
        <v>0</v>
      </c>
      <c r="BF94" s="25">
        <v>0</v>
      </c>
      <c r="BG94" s="25">
        <v>31790.799999999999</v>
      </c>
      <c r="BH94" s="25">
        <f t="shared" si="38"/>
        <v>1550069.6400000001</v>
      </c>
      <c r="BI94" s="29">
        <v>1437110.22</v>
      </c>
      <c r="BJ94" s="29">
        <v>0</v>
      </c>
      <c r="BK94" s="29">
        <v>0</v>
      </c>
      <c r="BL94" s="29">
        <v>34824</v>
      </c>
      <c r="BM94" s="29">
        <f t="shared" si="39"/>
        <v>1471934.22</v>
      </c>
      <c r="BN94" s="30">
        <f t="shared" si="40"/>
        <v>11646365.700000001</v>
      </c>
    </row>
    <row r="95" spans="1:66">
      <c r="A95" s="19">
        <v>92</v>
      </c>
      <c r="B95" s="64" t="s">
        <v>334</v>
      </c>
      <c r="C95" s="64" t="s">
        <v>335</v>
      </c>
      <c r="D95" s="65" t="s">
        <v>336</v>
      </c>
      <c r="E95" s="61">
        <v>35356184</v>
      </c>
      <c r="F95" s="22"/>
      <c r="G95" s="23"/>
      <c r="H95" s="23"/>
      <c r="I95" s="23"/>
      <c r="J95" s="23"/>
      <c r="K95" s="24"/>
      <c r="L95" s="24">
        <f t="shared" si="24"/>
        <v>0</v>
      </c>
      <c r="M95" s="24"/>
      <c r="N95" s="24">
        <f t="shared" si="26"/>
        <v>0</v>
      </c>
      <c r="O95" s="23"/>
      <c r="P95" s="23"/>
      <c r="Q95" s="23"/>
      <c r="R95" s="23"/>
      <c r="S95" s="23"/>
      <c r="T95" s="23">
        <f t="shared" si="27"/>
        <v>0</v>
      </c>
      <c r="U95" s="23">
        <f t="shared" si="28"/>
        <v>0</v>
      </c>
      <c r="V95" s="16"/>
      <c r="W95" s="16"/>
      <c r="X95" s="16"/>
      <c r="Y95" s="16"/>
      <c r="Z95" s="16">
        <f t="shared" si="29"/>
        <v>0</v>
      </c>
      <c r="AA95" s="66">
        <f t="shared" si="21"/>
        <v>0</v>
      </c>
      <c r="AB95" s="66">
        <f t="shared" si="22"/>
        <v>0</v>
      </c>
      <c r="AC95" s="67">
        <f t="shared" si="22"/>
        <v>0</v>
      </c>
      <c r="AD95" s="63">
        <f t="shared" si="22"/>
        <v>0</v>
      </c>
      <c r="AE95" s="66">
        <f t="shared" si="23"/>
        <v>0</v>
      </c>
      <c r="AF95" s="66">
        <v>0</v>
      </c>
      <c r="AG95" s="28">
        <f t="shared" si="30"/>
        <v>0</v>
      </c>
      <c r="AH95" s="26">
        <f t="shared" si="31"/>
        <v>0</v>
      </c>
      <c r="AI95" s="63">
        <v>0</v>
      </c>
      <c r="AJ95" s="66">
        <v>0</v>
      </c>
      <c r="AK95" s="67">
        <v>0</v>
      </c>
      <c r="AL95" s="63">
        <v>74156.800000000003</v>
      </c>
      <c r="AM95" s="66">
        <v>0</v>
      </c>
      <c r="AN95" s="28">
        <f t="shared" si="32"/>
        <v>74156.800000000003</v>
      </c>
      <c r="AO95" s="67">
        <f>+AI95+AJ95+AK95+AL95+AM95</f>
        <v>74156.800000000003</v>
      </c>
      <c r="AP95" s="63">
        <v>0</v>
      </c>
      <c r="AQ95" s="66">
        <v>0</v>
      </c>
      <c r="AR95" s="67">
        <v>0</v>
      </c>
      <c r="AS95" s="63">
        <v>74156.800000000003</v>
      </c>
      <c r="AT95" s="25">
        <v>0</v>
      </c>
      <c r="AU95" s="25">
        <f t="shared" si="34"/>
        <v>74156.800000000003</v>
      </c>
      <c r="AV95" s="25">
        <f t="shared" si="35"/>
        <v>74156.800000000003</v>
      </c>
      <c r="AW95" s="25">
        <v>0</v>
      </c>
      <c r="AX95" s="25">
        <v>0</v>
      </c>
      <c r="AY95" s="25">
        <v>0</v>
      </c>
      <c r="AZ95" s="25">
        <v>74156.800000000003</v>
      </c>
      <c r="BA95" s="25">
        <v>0</v>
      </c>
      <c r="BB95" s="25">
        <f t="shared" si="36"/>
        <v>74156.800000000003</v>
      </c>
      <c r="BC95" s="25">
        <f t="shared" si="37"/>
        <v>74156.800000000003</v>
      </c>
      <c r="BD95" s="25">
        <v>0</v>
      </c>
      <c r="BE95" s="25">
        <v>0</v>
      </c>
      <c r="BF95" s="25">
        <v>0</v>
      </c>
      <c r="BG95" s="25">
        <v>13514.8</v>
      </c>
      <c r="BH95" s="25">
        <f t="shared" si="38"/>
        <v>13514.8</v>
      </c>
      <c r="BI95" s="29">
        <v>0</v>
      </c>
      <c r="BJ95" s="29">
        <v>0</v>
      </c>
      <c r="BK95" s="29">
        <v>0</v>
      </c>
      <c r="BL95" s="29">
        <v>42911</v>
      </c>
      <c r="BM95" s="29">
        <f t="shared" si="39"/>
        <v>42911</v>
      </c>
      <c r="BN95" s="30">
        <f t="shared" si="40"/>
        <v>278896.2</v>
      </c>
    </row>
    <row r="96" spans="1:66">
      <c r="A96" s="19">
        <v>93</v>
      </c>
      <c r="B96" s="64" t="s">
        <v>337</v>
      </c>
      <c r="C96" s="64" t="s">
        <v>338</v>
      </c>
      <c r="D96" s="65" t="s">
        <v>339</v>
      </c>
      <c r="E96" s="61">
        <v>36997659</v>
      </c>
      <c r="F96" s="22"/>
      <c r="G96" s="23"/>
      <c r="H96" s="23"/>
      <c r="I96" s="23"/>
      <c r="J96" s="23"/>
      <c r="K96" s="24"/>
      <c r="L96" s="24">
        <f t="shared" si="24"/>
        <v>0</v>
      </c>
      <c r="M96" s="24"/>
      <c r="N96" s="24">
        <f t="shared" si="26"/>
        <v>0</v>
      </c>
      <c r="O96" s="23"/>
      <c r="P96" s="23"/>
      <c r="Q96" s="23"/>
      <c r="R96" s="23"/>
      <c r="S96" s="23"/>
      <c r="T96" s="23">
        <f t="shared" si="27"/>
        <v>0</v>
      </c>
      <c r="U96" s="23">
        <f t="shared" si="28"/>
        <v>0</v>
      </c>
      <c r="V96" s="16"/>
      <c r="W96" s="16"/>
      <c r="X96" s="16"/>
      <c r="Y96" s="16"/>
      <c r="Z96" s="16">
        <f t="shared" si="29"/>
        <v>0</v>
      </c>
      <c r="AA96" s="66">
        <f t="shared" si="21"/>
        <v>0</v>
      </c>
      <c r="AB96" s="66">
        <f t="shared" si="22"/>
        <v>0</v>
      </c>
      <c r="AC96" s="67">
        <f t="shared" si="22"/>
        <v>0</v>
      </c>
      <c r="AD96" s="63">
        <f t="shared" si="22"/>
        <v>0</v>
      </c>
      <c r="AE96" s="66">
        <f t="shared" si="23"/>
        <v>0</v>
      </c>
      <c r="AF96" s="66">
        <v>0</v>
      </c>
      <c r="AG96" s="28">
        <f t="shared" si="30"/>
        <v>0</v>
      </c>
      <c r="AH96" s="26">
        <f t="shared" si="31"/>
        <v>0</v>
      </c>
      <c r="AI96" s="63">
        <v>0</v>
      </c>
      <c r="AJ96" s="66">
        <v>0</v>
      </c>
      <c r="AK96" s="67">
        <v>0</v>
      </c>
      <c r="AL96" s="63">
        <v>37078.400000000001</v>
      </c>
      <c r="AM96" s="66">
        <v>0</v>
      </c>
      <c r="AN96" s="28">
        <f t="shared" si="32"/>
        <v>37078.400000000001</v>
      </c>
      <c r="AO96" s="67">
        <f t="shared" si="33"/>
        <v>37078.400000000001</v>
      </c>
      <c r="AP96" s="63">
        <v>0</v>
      </c>
      <c r="AQ96" s="66">
        <v>0</v>
      </c>
      <c r="AR96" s="67">
        <v>0</v>
      </c>
      <c r="AS96" s="63">
        <v>37078.400000000001</v>
      </c>
      <c r="AT96" s="25">
        <v>0</v>
      </c>
      <c r="AU96" s="25">
        <f t="shared" si="34"/>
        <v>37078.400000000001</v>
      </c>
      <c r="AV96" s="25">
        <f t="shared" si="35"/>
        <v>37078.400000000001</v>
      </c>
      <c r="AW96" s="25">
        <v>0</v>
      </c>
      <c r="AX96" s="25">
        <v>0</v>
      </c>
      <c r="AY96" s="25">
        <v>0</v>
      </c>
      <c r="AZ96" s="25">
        <v>37078.400000000001</v>
      </c>
      <c r="BA96" s="25">
        <v>0</v>
      </c>
      <c r="BB96" s="25">
        <f t="shared" si="36"/>
        <v>37078.400000000001</v>
      </c>
      <c r="BC96" s="25">
        <f t="shared" si="37"/>
        <v>37078.400000000001</v>
      </c>
      <c r="BD96" s="25">
        <v>0</v>
      </c>
      <c r="BE96" s="25">
        <v>0</v>
      </c>
      <c r="BF96" s="25">
        <v>0</v>
      </c>
      <c r="BG96" s="25">
        <v>2343.6</v>
      </c>
      <c r="BH96" s="25">
        <f t="shared" si="38"/>
        <v>2343.6</v>
      </c>
      <c r="BI96" s="29">
        <v>0</v>
      </c>
      <c r="BJ96" s="29">
        <v>0</v>
      </c>
      <c r="BK96" s="29">
        <v>0</v>
      </c>
      <c r="BL96" s="29">
        <v>7543</v>
      </c>
      <c r="BM96" s="29">
        <f t="shared" si="39"/>
        <v>7543</v>
      </c>
      <c r="BN96" s="30">
        <f t="shared" si="40"/>
        <v>121121.80000000002</v>
      </c>
    </row>
    <row r="97" spans="1:66">
      <c r="A97" s="14"/>
      <c r="B97" s="14"/>
      <c r="C97" s="52"/>
      <c r="D97" s="68" t="s">
        <v>340</v>
      </c>
      <c r="E97" s="69"/>
      <c r="F97" s="70">
        <f>SUM(F3:F96)</f>
        <v>3179868.6800000006</v>
      </c>
      <c r="G97" s="70">
        <f>SUM(G3:G96)</f>
        <v>197269129.40000001</v>
      </c>
      <c r="H97" s="70">
        <f t="shared" ref="H97:BN97" si="41">SUM(H3:H96)</f>
        <v>19189739.98</v>
      </c>
      <c r="I97" s="70">
        <f t="shared" si="41"/>
        <v>1469468.87</v>
      </c>
      <c r="J97" s="70">
        <f t="shared" si="41"/>
        <v>37268966.87000002</v>
      </c>
      <c r="K97" s="70">
        <f t="shared" si="41"/>
        <v>4680444.4000000004</v>
      </c>
      <c r="L97" s="70"/>
      <c r="M97" s="70">
        <f t="shared" si="41"/>
        <v>41949411.270000003</v>
      </c>
      <c r="N97" s="70">
        <f>SUM(N3:N96)</f>
        <v>259877749.52000004</v>
      </c>
      <c r="O97" s="70">
        <f t="shared" si="41"/>
        <v>204443083.92333335</v>
      </c>
      <c r="P97" s="70">
        <f t="shared" si="41"/>
        <v>19804068.100000005</v>
      </c>
      <c r="Q97" s="70">
        <f t="shared" si="41"/>
        <v>1526007.86</v>
      </c>
      <c r="R97" s="70">
        <f t="shared" si="41"/>
        <v>37098736.433333345</v>
      </c>
      <c r="S97" s="70">
        <f t="shared" si="41"/>
        <v>6499054.9699999997</v>
      </c>
      <c r="T97" s="70">
        <f t="shared" si="41"/>
        <v>43597791.403333344</v>
      </c>
      <c r="U97" s="70">
        <f>SUM(U3:U96)</f>
        <v>269370951.28666663</v>
      </c>
      <c r="V97" s="70">
        <f t="shared" si="41"/>
        <v>208899841.47000003</v>
      </c>
      <c r="W97" s="70">
        <f t="shared" si="41"/>
        <v>19858403.540000003</v>
      </c>
      <c r="X97" s="70">
        <f t="shared" si="41"/>
        <v>1553844.86</v>
      </c>
      <c r="Y97" s="70">
        <f t="shared" si="41"/>
        <v>39985583.130000018</v>
      </c>
      <c r="Z97" s="70">
        <f t="shared" si="41"/>
        <v>45592214.549999997</v>
      </c>
      <c r="AA97" s="70">
        <f>SUM(AA3:AA96)</f>
        <v>270297673</v>
      </c>
      <c r="AB97" s="70">
        <f t="shared" ref="AB97:AG97" si="42">SUM(AB3:AB96)</f>
        <v>610612054.79333341</v>
      </c>
      <c r="AC97" s="70">
        <f t="shared" si="42"/>
        <v>58852211.620000012</v>
      </c>
      <c r="AD97" s="70">
        <f t="shared" si="42"/>
        <v>4549321.5900000008</v>
      </c>
      <c r="AE97" s="70">
        <f t="shared" si="42"/>
        <v>125532785.80333336</v>
      </c>
      <c r="AF97" s="70">
        <f t="shared" si="42"/>
        <v>5606631.4200000009</v>
      </c>
      <c r="AG97" s="70">
        <f t="shared" si="42"/>
        <v>131139417.22333336</v>
      </c>
      <c r="AH97" s="70">
        <f>SUM(AH3:AH96)</f>
        <v>805153005.22666657</v>
      </c>
      <c r="AI97" s="70">
        <f t="shared" si="41"/>
        <v>208219518.14333335</v>
      </c>
      <c r="AJ97" s="70">
        <f t="shared" si="41"/>
        <v>19775608.110000003</v>
      </c>
      <c r="AK97" s="70">
        <f t="shared" si="41"/>
        <v>1573652.1300000001</v>
      </c>
      <c r="AL97" s="70">
        <f t="shared" si="41"/>
        <v>37355141.540000014</v>
      </c>
      <c r="AM97" s="70">
        <f>SUM(AM3:AM96)</f>
        <v>10234898.780000001</v>
      </c>
      <c r="AN97" s="70">
        <f>SUM(AN3:AN96)</f>
        <v>47590040.32</v>
      </c>
      <c r="AO97" s="70">
        <f t="shared" si="41"/>
        <v>277158818.70333344</v>
      </c>
      <c r="AP97" s="70">
        <f t="shared" si="41"/>
        <v>215682036.03000006</v>
      </c>
      <c r="AQ97" s="70">
        <f t="shared" si="41"/>
        <v>19775608.110000003</v>
      </c>
      <c r="AR97" s="70">
        <f t="shared" si="41"/>
        <v>1597828.68</v>
      </c>
      <c r="AS97" s="70">
        <f t="shared" si="41"/>
        <v>37399920.540000014</v>
      </c>
      <c r="AT97" s="25">
        <f>SUM(AT3:AT96)</f>
        <v>6514749.7599999998</v>
      </c>
      <c r="AU97" s="25">
        <f>SUM(AU3:AU96)</f>
        <v>43914670.29999999</v>
      </c>
      <c r="AV97" s="70">
        <f t="shared" si="41"/>
        <v>280970143.12000012</v>
      </c>
      <c r="AW97" s="70">
        <f t="shared" si="41"/>
        <v>207552524.94000006</v>
      </c>
      <c r="AX97" s="70">
        <f t="shared" si="41"/>
        <v>19768212.110000003</v>
      </c>
      <c r="AY97" s="70">
        <f t="shared" si="41"/>
        <v>1619948.16</v>
      </c>
      <c r="AZ97" s="70">
        <f t="shared" si="41"/>
        <v>37525269.090000011</v>
      </c>
      <c r="BA97" s="70">
        <f t="shared" si="41"/>
        <v>5349863.49</v>
      </c>
      <c r="BB97" s="70">
        <f t="shared" si="41"/>
        <v>42875132.579999991</v>
      </c>
      <c r="BC97" s="70">
        <f t="shared" si="41"/>
        <v>271815817.79000008</v>
      </c>
      <c r="BD97" s="70">
        <f t="shared" si="41"/>
        <v>221183539.95000008</v>
      </c>
      <c r="BE97" s="70">
        <f t="shared" si="41"/>
        <v>19830537.420000006</v>
      </c>
      <c r="BF97" s="70">
        <f t="shared" si="41"/>
        <v>1537089.92</v>
      </c>
      <c r="BG97" s="70">
        <f t="shared" si="41"/>
        <v>37402265.780000009</v>
      </c>
      <c r="BH97" s="70">
        <f t="shared" si="41"/>
        <v>279953433.07000017</v>
      </c>
      <c r="BI97" s="71">
        <f t="shared" si="41"/>
        <v>211726807.24000004</v>
      </c>
      <c r="BJ97" s="71">
        <f t="shared" si="41"/>
        <v>19687691.309999999</v>
      </c>
      <c r="BK97" s="71">
        <f t="shared" si="41"/>
        <v>1504355.7500000002</v>
      </c>
      <c r="BL97" s="71">
        <f t="shared" si="41"/>
        <v>37231660.45000001</v>
      </c>
      <c r="BM97" s="71">
        <f t="shared" si="41"/>
        <v>270150514.75</v>
      </c>
      <c r="BN97" s="70">
        <f t="shared" si="41"/>
        <v>2188381601.3400002</v>
      </c>
    </row>
    <row r="98" spans="1:66">
      <c r="A98" s="72"/>
      <c r="B98" s="72"/>
      <c r="C98" s="73"/>
      <c r="D98" s="74"/>
      <c r="E98" s="75"/>
      <c r="F98" s="76"/>
      <c r="G98" s="76"/>
      <c r="H98" s="76"/>
      <c r="I98" s="76"/>
      <c r="J98" s="76"/>
      <c r="K98" s="76">
        <f>+K97/1000</f>
        <v>4680.4444000000003</v>
      </c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7"/>
      <c r="BJ98" s="77"/>
      <c r="BK98" s="77"/>
      <c r="BL98" s="77"/>
      <c r="BM98" s="77"/>
      <c r="BN98" s="76"/>
    </row>
    <row r="99" spans="1:66" ht="25.5">
      <c r="A99" s="72"/>
      <c r="B99" s="72"/>
      <c r="C99" s="73"/>
      <c r="D99" s="74"/>
      <c r="E99" s="75"/>
      <c r="F99" s="76">
        <f>+F97/1000</f>
        <v>3179.8686800000005</v>
      </c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>
        <f>+V97+W97+X97+Z97</f>
        <v>275904304.42000002</v>
      </c>
      <c r="AA99" s="76">
        <f>+AA97+AF97</f>
        <v>275904304.42000002</v>
      </c>
      <c r="AB99" s="76"/>
      <c r="AC99" s="76"/>
      <c r="AD99" s="76"/>
      <c r="AE99" s="76"/>
      <c r="AF99" s="76" t="s">
        <v>341</v>
      </c>
      <c r="AG99" s="76">
        <v>122734836.58000003</v>
      </c>
      <c r="AH99" s="76"/>
      <c r="AI99" s="76"/>
      <c r="AJ99" s="76"/>
      <c r="AK99" s="76"/>
      <c r="AL99" s="76"/>
      <c r="AM99" s="76">
        <f>+AM97/1000</f>
        <v>10234.898780000001</v>
      </c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 t="s">
        <v>342</v>
      </c>
      <c r="BI99" s="77"/>
      <c r="BJ99" s="77"/>
      <c r="BK99" s="77"/>
      <c r="BL99" s="77"/>
      <c r="BM99" s="77"/>
      <c r="BN99" s="76">
        <f>+BN97-'[1]17.07.2024 SUPL SSZ IUN'!BG97</f>
        <v>279703570.02000046</v>
      </c>
    </row>
    <row r="100" spans="1:66">
      <c r="A100" s="72"/>
      <c r="B100" s="72"/>
      <c r="C100" s="73"/>
      <c r="D100" s="74"/>
      <c r="E100" s="75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>
        <f>+AG97-AG99</f>
        <v>8404580.6433333308</v>
      </c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7"/>
      <c r="BJ100" s="77"/>
      <c r="BK100" s="77"/>
      <c r="BL100" s="77"/>
      <c r="BM100" s="77"/>
      <c r="BN100" s="76"/>
    </row>
    <row r="101" spans="1:66">
      <c r="A101" s="72"/>
      <c r="B101" s="72"/>
      <c r="C101" s="73"/>
      <c r="D101" s="74"/>
      <c r="E101" s="75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>
        <f>+AG100/1000</f>
        <v>8404.580643333331</v>
      </c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7"/>
      <c r="BJ101" s="77"/>
      <c r="BK101" s="77"/>
      <c r="BL101" s="77"/>
      <c r="BM101" s="77"/>
      <c r="BN101" s="76"/>
    </row>
  </sheetData>
  <autoFilter ref="A2:BN101">
    <filterColumn colId="11"/>
    <filterColumn colId="25"/>
    <filterColumn colId="27"/>
    <filterColumn colId="28"/>
    <filterColumn colId="29"/>
    <filterColumn colId="30"/>
    <filterColumn colId="31"/>
    <filterColumn colId="32"/>
    <filterColumn colId="33"/>
    <filterColumn colId="38"/>
    <filterColumn colId="39"/>
    <filterColumn colId="41"/>
    <filterColumn colId="42"/>
    <filterColumn colId="43"/>
    <filterColumn colId="44"/>
    <filterColumn colId="45"/>
    <filterColumn colId="46"/>
    <filterColumn colId="48"/>
    <filterColumn colId="49"/>
    <filterColumn colId="50"/>
    <filterColumn colId="51"/>
    <filterColumn colId="52"/>
    <filterColumn colId="53"/>
    <filterColumn colId="54"/>
    <filterColumn colId="55"/>
    <filterColumn colId="56"/>
    <filterColumn colId="57"/>
    <filterColumn colId="58"/>
    <filterColumn colId="59"/>
    <filterColumn colId="60"/>
    <filterColumn colId="61"/>
    <filterColumn colId="62"/>
    <filterColumn colId="63"/>
    <filterColumn colId="64"/>
  </autoFilter>
  <pageMargins left="0.19685039370078741" right="0.19685039370078741" top="0.15748031496062992" bottom="0.15748031496062992" header="0.31496062992125984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01.08.2024 ALOCARE AUGUST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2024-08-07T09:35:31Z</dcterms:modified>
</cp:coreProperties>
</file>